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Титульний лист" sheetId="1" r:id="rId1"/>
    <sheet name="І Фін результат" sheetId="2" r:id="rId2"/>
    <sheet name="ІІ Розр з бюджетом" sheetId="3" r:id="rId3"/>
    <sheet name="ІІІ Рух грошових коштів" sheetId="4" r:id="rId4"/>
    <sheet name="ІV Кап інвестиції" sheetId="5" r:id="rId5"/>
    <sheet name="V ОП" sheetId="6" r:id="rId6"/>
  </sheets>
  <definedNames/>
  <calcPr fullCalcOnLoad="1"/>
</workbook>
</file>

<file path=xl/sharedStrings.xml><?xml version="1.0" encoding="utf-8"?>
<sst xmlns="http://schemas.openxmlformats.org/spreadsheetml/2006/main" count="384" uniqueCount="312">
  <si>
    <t>I. Формування фінансових результатів</t>
  </si>
  <si>
    <t>Найменування показника</t>
  </si>
  <si>
    <t xml:space="preserve">Код рядка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</si>
  <si>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</si>
  <si>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</si>
  <si>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</si>
  <si>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</si>
  <si>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</si>
  <si>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</si>
  <si>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</si>
  <si>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</si>
  <si>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</si>
  <si>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</si>
  <si>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</si>
  <si>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витрати, пов'язані з використанням власних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</si>
  <si>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</si>
  <si>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</si>
  <si>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</si>
  <si>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</si>
  <si>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зв’язок</t>
  </si>
  <si>
    <t>витрати на оплату праці</t>
  </si>
  <si>
    <t>відрахування на соціальні заходи</t>
  </si>
  <si>
    <t>витрати на поліпшення основних фондів</t>
  </si>
  <si>
    <t>1050/1</t>
  </si>
  <si>
    <t>інші адміністративні витрати (розшифрувати)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</si>
  <si>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</si>
  <si>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</si>
  <si>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</si>
  <si>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</si>
  <si>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</si>
  <si>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</si>
  <si>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</si>
  <si>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</si>
  <si>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</si>
  <si>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</si>
  <si>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</si>
  <si>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</si>
  <si>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</si>
  <si>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</si>
  <si>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</si>
  <si>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</si>
  <si>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</si>
  <si>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</si>
  <si>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</si>
  <si>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</si>
  <si>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</si>
  <si>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</si>
  <si>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</si>
  <si>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</si>
  <si>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</si>
  <si>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</si>
  <si>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</si>
  <si>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</si>
  <si>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</si>
  <si>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</si>
  <si>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</si>
  <si>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</si>
  <si>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</si>
  <si>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</si>
  <si>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</si>
  <si>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</si>
  <si>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</si>
  <si>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</si>
  <si>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</si>
  <si>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</si>
  <si>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</si>
  <si>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</si>
  <si>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</si>
  <si>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</si>
  <si>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</si>
  <si>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</si>
  <si>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</si>
  <si>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</si>
  <si>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</si>
  <si>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</si>
  <si>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</si>
  <si>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</si>
  <si>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</si>
  <si>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</si>
  <si>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</si>
  <si>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</si>
  <si>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</si>
  <si>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</si>
  <si>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</si>
  <si>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</si>
  <si>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</si>
  <si>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</si>
  <si>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</si>
  <si>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</si>
  <si>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</si>
  <si>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r>
      <t>Інші надходження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</si>
  <si>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11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</si>
  <si>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11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</si>
  <si>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11"/>
        <rFont val="Times New Roman"/>
        <family val="1"/>
      </rPr>
      <t xml:space="preserve"> </t>
    </r>
  </si>
  <si>
    <t xml:space="preserve">податок на прибуток </t>
  </si>
  <si>
    <t>_________________</t>
  </si>
  <si>
    <t>Капітальні інвестиції, усього,
у тому числі:</t>
  </si>
  <si>
    <t>капітальне будівництво</t>
  </si>
  <si>
    <t>4010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</si>
  <si>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</si>
  <si>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</si>
  <si>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</si>
  <si>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</si>
  <si>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</si>
  <si>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</si>
  <si>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</si>
  <si>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</si>
  <si>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</si>
  <si>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</si>
  <si>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рік</t>
  </si>
  <si>
    <t>Таблиця 1</t>
  </si>
  <si>
    <t>коди</t>
  </si>
  <si>
    <t xml:space="preserve">Підприємство  </t>
  </si>
  <si>
    <t xml:space="preserve">за ЄДПОУ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</si>
  <si>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</si>
  <si>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</si>
  <si>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</si>
  <si>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</si>
  <si>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</si>
  <si>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</si>
  <si>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</si>
  <si>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</si>
  <si>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</si>
  <si>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</si>
  <si>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</si>
  <si>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 xml:space="preserve">Прізвище та ініціали керівника 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</si>
  <si>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</si>
  <si>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</si>
  <si>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</si>
  <si>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</si>
  <si>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</si>
  <si>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</si>
  <si>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</si>
  <si>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</si>
  <si>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</si>
  <si>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</si>
  <si>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</si>
  <si>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r>
      <t xml:space="preserve">Середня кількість працівників </t>
    </r>
    <r>
      <rPr>
        <sz val="11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1"/>
        <rFont val="Times New Roman"/>
        <family val="1"/>
      </rPr>
      <t>, у тому числі:</t>
    </r>
  </si>
  <si>
    <t>Елементи операційних витрат</t>
  </si>
  <si>
    <t>Амортизація</t>
  </si>
  <si>
    <t>Інші операційні витрати</t>
  </si>
  <si>
    <t>Усього</t>
  </si>
  <si>
    <t>3144/1</t>
  </si>
  <si>
    <t>Комунальне підприємство</t>
  </si>
  <si>
    <t>93.29</t>
  </si>
  <si>
    <t>Комунальна</t>
  </si>
  <si>
    <t>Головний бухгалтер</t>
  </si>
  <si>
    <t xml:space="preserve">Головний бухгалтер </t>
  </si>
  <si>
    <t>2116/1</t>
  </si>
  <si>
    <t>Адміністративні витрати, у т. ч.:</t>
  </si>
  <si>
    <t>Інші операційні  доходи (розшифрувати)</t>
  </si>
  <si>
    <t>Матеріальні витрати, у т. ч.:</t>
  </si>
  <si>
    <t>амортизація основних засобів і нематеріальних активів загально-господарського призначення</t>
  </si>
  <si>
    <t>Інші податки, збори та платежі на користь держави, усього, у т. ч.:</t>
  </si>
  <si>
    <t>Сплата податків та зборів до Державного бюджету України (податкові платежі), усього, у т.ч.:</t>
  </si>
  <si>
    <t>Нараховані до сплати відрахування частини чистого прибутку усього, у т.ч.:</t>
  </si>
  <si>
    <t>ЗАТВЕРДЖЕНО</t>
  </si>
  <si>
    <t>81.10</t>
  </si>
  <si>
    <t>начальник</t>
  </si>
  <si>
    <t>Цільове фінансування</t>
  </si>
  <si>
    <t xml:space="preserve"> </t>
  </si>
  <si>
    <t>Екологічний податок</t>
  </si>
  <si>
    <t>Податок на воду</t>
  </si>
  <si>
    <t>бюджетні кошти</t>
  </si>
  <si>
    <t>нар.частини чист.приб.</t>
  </si>
  <si>
    <t>ком.послуги</t>
  </si>
  <si>
    <t>преса та оголошення</t>
  </si>
  <si>
    <t>сировина і матеріали</t>
  </si>
  <si>
    <t>дохід від реал.обор.актив.</t>
  </si>
  <si>
    <t>пені неуст.відсотки банку</t>
  </si>
  <si>
    <t>інші фінансові доходи</t>
  </si>
  <si>
    <t>1070/5</t>
  </si>
  <si>
    <t>Розрахунки з оплати праці (в т.ч. ЄСВ)</t>
  </si>
  <si>
    <t>частина чистого прибутку</t>
  </si>
  <si>
    <t>1070/1</t>
  </si>
  <si>
    <t>1070/2</t>
  </si>
  <si>
    <t>1070/3</t>
  </si>
  <si>
    <t>1070/4</t>
  </si>
  <si>
    <t>1070/6</t>
  </si>
  <si>
    <t>Поточний ремонт покрівлі, герметизації стиків</t>
  </si>
  <si>
    <t>Вивезення та захоронення сміття</t>
  </si>
  <si>
    <t>Загальновиробничі витрати</t>
  </si>
  <si>
    <t>Обслуговування ліфтів</t>
  </si>
  <si>
    <t>Єрикалова Ольга Олександрівна</t>
  </si>
  <si>
    <t>інформаційно-консультативні послуги, облс.ПК</t>
  </si>
  <si>
    <t>Начальник КП НМР "ЖКО"</t>
  </si>
  <si>
    <t>Ольга ЄРИКАЛОВА</t>
  </si>
  <si>
    <t>Оксана ЗОЩУК</t>
  </si>
  <si>
    <t>Від операційної оренди</t>
  </si>
  <si>
    <t>1080/1</t>
  </si>
  <si>
    <t>1080/2</t>
  </si>
  <si>
    <t>1080/3</t>
  </si>
  <si>
    <t>1080/4</t>
  </si>
  <si>
    <t>1080/5</t>
  </si>
  <si>
    <t>адміністративні штрафи</t>
  </si>
  <si>
    <t>Надходження від отримання субсидій та дотацій</t>
  </si>
  <si>
    <t>Факт минулого року 2020</t>
  </si>
  <si>
    <t>м.Нетішин, пр-т Незалежності, 31</t>
  </si>
  <si>
    <t>V. Дані про персонал та витрати на оплату праці</t>
  </si>
  <si>
    <t>елек.енергія населення</t>
  </si>
  <si>
    <t>електроенергія населення</t>
  </si>
  <si>
    <r>
      <t>Комунальне підприємство Нетішинської міської ради "Житлово-комунальне об</t>
    </r>
    <r>
      <rPr>
        <b/>
        <sz val="12"/>
        <rFont val="Times New Roman"/>
        <family val="1"/>
      </rPr>
      <t>'</t>
    </r>
    <r>
      <rPr>
        <b/>
        <i/>
        <sz val="12"/>
        <rFont val="Times New Roman"/>
        <family val="1"/>
      </rPr>
      <t>єднання"</t>
    </r>
  </si>
  <si>
    <t>9-14-89, 9-13-32</t>
  </si>
  <si>
    <t>Від пені, штрафи, неустойки</t>
  </si>
  <si>
    <t>Податок на землю</t>
  </si>
  <si>
    <t>інші витрати</t>
  </si>
  <si>
    <t>пені, штрафи, неустойки</t>
  </si>
  <si>
    <t>відрахування 0,3%</t>
  </si>
  <si>
    <t>Інші операційні витрати (розшифрувати)</t>
  </si>
  <si>
    <t>електроенергія</t>
  </si>
  <si>
    <t>послуги банківсього обслуговування</t>
  </si>
  <si>
    <t>Витрати на утримання основних фондів, інших необоротних активів загальногосподарського використання,  у тому числі:</t>
  </si>
  <si>
    <t>пожежна охорона</t>
  </si>
  <si>
    <t>Інші (комун.посл., тех.обслуговування, дератизація, дезинсекція, адмінвитрати та ін.)</t>
  </si>
  <si>
    <t xml:space="preserve">Витрати на паливо та енергію </t>
  </si>
  <si>
    <t>витрати на оренду службових автомобілів</t>
  </si>
  <si>
    <t>внески на утримання адм.буд</t>
  </si>
  <si>
    <t>адм.та судові збори</t>
  </si>
  <si>
    <t>капітальний ремонт ліфтів</t>
  </si>
  <si>
    <t>собівартість реаліз.вироб.запасів</t>
  </si>
  <si>
    <t>кап.ремонт ліфтів</t>
  </si>
  <si>
    <t>пені,штрафи,неуст.</t>
  </si>
  <si>
    <t>1080/6</t>
  </si>
  <si>
    <t>1080/7</t>
  </si>
  <si>
    <t>військовий збір</t>
  </si>
  <si>
    <t>Надходження від ФСС</t>
  </si>
  <si>
    <t>містить сировину,амортизацію,зп таін.витрати пов.з поводж.за мінусом адмін та заг.вир</t>
  </si>
  <si>
    <t>2833</t>
  </si>
  <si>
    <t>623</t>
  </si>
  <si>
    <t>431</t>
  </si>
  <si>
    <t>2303</t>
  </si>
  <si>
    <t>2047</t>
  </si>
  <si>
    <t>450</t>
  </si>
  <si>
    <t>2</t>
  </si>
  <si>
    <t>86</t>
  </si>
  <si>
    <t>Борг перед ХАЕС зг.ріш.суду</t>
  </si>
  <si>
    <t>Банківське обслуг.</t>
  </si>
  <si>
    <t>Інші витрати</t>
  </si>
  <si>
    <t>містить сировину,амортизацію,зп таін.заг вироб витрати які стос.управ та сміття</t>
  </si>
  <si>
    <t>матер.та послуг прид.за бюд.кошти</t>
  </si>
  <si>
    <t>1070/7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</si>
  <si>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</si>
  <si>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</si>
  <si>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</si>
  <si>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</si>
  <si>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юридичні послуги</t>
  </si>
  <si>
    <t>послуги з оцінки майна</t>
  </si>
  <si>
    <t>витрати на охорону праці загальногосподарського персоналу</t>
  </si>
  <si>
    <t>витрати на підвищення кваліфікації та перепідготовку кадрів (навчання працівників)</t>
  </si>
  <si>
    <t>1051/1</t>
  </si>
  <si>
    <t>1051/2</t>
  </si>
  <si>
    <t>1051/3</t>
  </si>
  <si>
    <t>1051/4</t>
  </si>
  <si>
    <t>1051/5</t>
  </si>
  <si>
    <t>1051/6</t>
  </si>
  <si>
    <t>1051/7</t>
  </si>
  <si>
    <t>1051/8</t>
  </si>
  <si>
    <t>1051/9</t>
  </si>
  <si>
    <t>2124/1</t>
  </si>
  <si>
    <t>2124/2</t>
  </si>
  <si>
    <t>2124/3</t>
  </si>
  <si>
    <t>2124/4</t>
  </si>
  <si>
    <t>2124/5</t>
  </si>
  <si>
    <t>2124/6</t>
  </si>
  <si>
    <t>3060/1</t>
  </si>
  <si>
    <t>3060/2</t>
  </si>
  <si>
    <t>3060/3</t>
  </si>
  <si>
    <t>3060/4</t>
  </si>
  <si>
    <t>3144/2</t>
  </si>
  <si>
    <t>3150/1</t>
  </si>
  <si>
    <t>3150/2</t>
  </si>
  <si>
    <t>3170/1</t>
  </si>
  <si>
    <t>3170/2</t>
  </si>
  <si>
    <t>3170/3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</si>
  <si>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</si>
  <si>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1016/1</t>
  </si>
  <si>
    <t>1016/2</t>
  </si>
  <si>
    <t>Інші витрати(розшифрувати)</t>
  </si>
  <si>
    <t>Повернення оплат від продавців</t>
  </si>
  <si>
    <t>План 2021 рік</t>
  </si>
  <si>
    <t>Факт 2021 рік</t>
  </si>
  <si>
    <t>відхилення,  +/–</t>
  </si>
  <si>
    <t>виконання, %</t>
  </si>
  <si>
    <t>ЗВІТ</t>
  </si>
  <si>
    <t>ПРО ВИКОНАННЯ ФІНАНСОВОГО ПЛАНУ ПІДПРИЄМСТВА</t>
  </si>
  <si>
    <t xml:space="preserve"> ЗА 2021 рік</t>
  </si>
  <si>
    <t>(квартал, рік)</t>
  </si>
  <si>
    <t>ІI. Розрахунки з бюджетом</t>
  </si>
  <si>
    <t>Факт минулого року</t>
  </si>
  <si>
    <t xml:space="preserve">план </t>
  </si>
  <si>
    <t>факт</t>
  </si>
  <si>
    <t>IV. Капітальні інвестиції</t>
  </si>
  <si>
    <t>план</t>
  </si>
  <si>
    <t>______________________ Ольга ЄРИКАЛОВА</t>
  </si>
  <si>
    <t>______________________ Оксана ЗОЩУК</t>
  </si>
  <si>
    <t>1051/10</t>
  </si>
  <si>
    <t>ВІКА</t>
  </si>
  <si>
    <t>повернення співвласникам коштів від оренди спільного майна</t>
  </si>
  <si>
    <t>3060/5</t>
  </si>
  <si>
    <t>3060/6</t>
  </si>
  <si>
    <t>Повернення суд.зборів та ін.</t>
  </si>
  <si>
    <t>3170/4</t>
  </si>
  <si>
    <t>Поповнення статутного капіталу</t>
  </si>
  <si>
    <t>Витрачання на оплату повернення авансів</t>
  </si>
  <si>
    <t>обст.констр., визн.тех.стану і т.п., експ.оцінка адмін прим.</t>
  </si>
  <si>
    <t>,</t>
  </si>
  <si>
    <t>(1344)</t>
  </si>
  <si>
    <t>Інші доходи (амортизація) та ін.доходи</t>
  </si>
  <si>
    <t xml:space="preserve">Інші витрати (амортизація) та ін.витрати </t>
  </si>
  <si>
    <t>Рішення виконавчого</t>
  </si>
  <si>
    <t>комітету міської ради</t>
  </si>
  <si>
    <t>28.04.2022 № 148/2022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</si>
</sst>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#,##0.0"/>
    <numFmt numFmtId="169" formatCode="0.0"/>
    <numFmt numFmtId="170" formatCode="_(* #,##0_);_(* \(#,##0\);_(* &quot;-&quot;??_);_(@_)"/>
    <numFmt numFmtId="171" formatCode="_(* #,##0.0_);_(* \(#,##0.0\);_(* &quot;-&quot;_);_(@_)"/>
  </numFmts>
  <fonts count="6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1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6" fillId="0" borderId="0">
      <alignment/>
      <protection/>
    </xf>
    <xf numFmtId="0" fontId="12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0" xfId="53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>
      <alignment horizontal="left" vertical="center" wrapText="1"/>
      <protection/>
    </xf>
    <xf numFmtId="168" fontId="3" fillId="0" borderId="0" xfId="53" applyNumberFormat="1" applyFont="1" applyFill="1" applyBorder="1" applyAlignment="1">
      <alignment horizontal="center" vertical="center" wrapText="1"/>
      <protection/>
    </xf>
    <xf numFmtId="168" fontId="3" fillId="0" borderId="0" xfId="53" applyNumberFormat="1" applyFont="1" applyFill="1" applyBorder="1" applyAlignment="1">
      <alignment horizontal="right" vertical="center" wrapText="1"/>
      <protection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 quotePrefix="1">
      <alignment horizontal="center" vertical="center"/>
    </xf>
    <xf numFmtId="168" fontId="7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 quotePrefix="1">
      <alignment horizontal="center" vertical="center"/>
    </xf>
    <xf numFmtId="169" fontId="4" fillId="0" borderId="0" xfId="0" applyNumberFormat="1" applyFont="1" applyFill="1" applyBorder="1" applyAlignment="1">
      <alignment horizontal="right" vertical="center" wrapText="1"/>
    </xf>
    <xf numFmtId="169" fontId="4" fillId="0" borderId="0" xfId="0" applyNumberFormat="1" applyFont="1" applyFill="1" applyBorder="1" applyAlignment="1">
      <alignment horizontal="right" vertical="center"/>
    </xf>
    <xf numFmtId="0" fontId="9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2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14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168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4" fillId="0" borderId="21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14" fillId="0" borderId="22" xfId="0" applyFont="1" applyBorder="1" applyAlignment="1">
      <alignment vertical="center" wrapText="1"/>
    </xf>
    <xf numFmtId="165" fontId="10" fillId="0" borderId="10" xfId="0" applyNumberFormat="1" applyFont="1" applyFill="1" applyBorder="1" applyAlignment="1">
      <alignment horizontal="center" vertical="center" wrapText="1"/>
    </xf>
    <xf numFmtId="165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3" applyFont="1" applyFill="1" applyBorder="1" applyAlignment="1">
      <alignment horizontal="left" vertical="center" wrapText="1"/>
      <protection/>
    </xf>
    <xf numFmtId="0" fontId="10" fillId="0" borderId="10" xfId="0" applyFont="1" applyFill="1" applyBorder="1" applyAlignment="1">
      <alignment horizontal="center" vertical="center"/>
    </xf>
    <xf numFmtId="0" fontId="10" fillId="0" borderId="10" xfId="53" applyFont="1" applyFill="1" applyBorder="1" applyAlignment="1">
      <alignment horizontal="center" vertical="center"/>
      <protection/>
    </xf>
    <xf numFmtId="0" fontId="9" fillId="0" borderId="0" xfId="0" applyFont="1" applyAlignment="1">
      <alignment/>
    </xf>
    <xf numFmtId="165" fontId="3" fillId="32" borderId="10" xfId="0" applyNumberFormat="1" applyFont="1" applyFill="1" applyBorder="1" applyAlignment="1">
      <alignment horizontal="center" vertical="center" wrapText="1"/>
    </xf>
    <xf numFmtId="165" fontId="9" fillId="32" borderId="10" xfId="0" applyNumberFormat="1" applyFont="1" applyFill="1" applyBorder="1" applyAlignment="1">
      <alignment horizontal="center" vertical="center" wrapText="1"/>
    </xf>
    <xf numFmtId="0" fontId="4" fillId="32" borderId="23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4" fillId="32" borderId="10" xfId="0" applyFont="1" applyFill="1" applyBorder="1" applyAlignment="1">
      <alignment horizontal="left" vertical="center" wrapText="1"/>
    </xf>
    <xf numFmtId="168" fontId="3" fillId="32" borderId="0" xfId="53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4" fillId="32" borderId="24" xfId="53" applyFont="1" applyFill="1" applyBorder="1" applyAlignment="1">
      <alignment horizontal="left" vertical="center" wrapText="1"/>
      <protection/>
    </xf>
    <xf numFmtId="0" fontId="1" fillId="0" borderId="0" xfId="0" applyFont="1" applyFill="1" applyAlignment="1">
      <alignment horizontal="center" vertical="center"/>
    </xf>
    <xf numFmtId="0" fontId="9" fillId="32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168" fontId="3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 quotePrefix="1">
      <alignment horizontal="left" vertic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9" fillId="32" borderId="10" xfId="0" applyFont="1" applyFill="1" applyBorder="1" applyAlignment="1">
      <alignment horizontal="center" vertical="center" wrapText="1" shrinkToFit="1"/>
    </xf>
    <xf numFmtId="168" fontId="3" fillId="0" borderId="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32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71" fontId="2" fillId="32" borderId="0" xfId="0" applyNumberFormat="1" applyFont="1" applyFill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65" fontId="2" fillId="32" borderId="0" xfId="0" applyNumberFormat="1" applyFont="1" applyFill="1" applyAlignment="1">
      <alignment horizontal="center" vertical="center"/>
    </xf>
    <xf numFmtId="171" fontId="3" fillId="32" borderId="10" xfId="0" applyNumberFormat="1" applyFont="1" applyFill="1" applyBorder="1" applyAlignment="1">
      <alignment horizontal="right" vertical="center" wrapText="1"/>
    </xf>
    <xf numFmtId="165" fontId="26" fillId="32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horizontal="right" vertical="center" wrapText="1"/>
    </xf>
    <xf numFmtId="165" fontId="26" fillId="0" borderId="10" xfId="0" applyNumberFormat="1" applyFont="1" applyFill="1" applyBorder="1" applyAlignment="1">
      <alignment horizontal="right" vertical="center" wrapText="1"/>
    </xf>
    <xf numFmtId="165" fontId="3" fillId="32" borderId="10" xfId="0" applyNumberFormat="1" applyFont="1" applyFill="1" applyBorder="1" applyAlignment="1">
      <alignment horizontal="right" vertical="center" wrapText="1"/>
    </xf>
    <xf numFmtId="1" fontId="3" fillId="32" borderId="10" xfId="0" applyNumberFormat="1" applyFont="1" applyFill="1" applyBorder="1" applyAlignment="1">
      <alignment horizontal="right" vertical="center" wrapText="1"/>
    </xf>
    <xf numFmtId="1" fontId="19" fillId="32" borderId="10" xfId="0" applyNumberFormat="1" applyFont="1" applyFill="1" applyBorder="1" applyAlignment="1">
      <alignment horizontal="right" vertical="center" wrapText="1"/>
    </xf>
    <xf numFmtId="1" fontId="3" fillId="0" borderId="10" xfId="0" applyNumberFormat="1" applyFont="1" applyFill="1" applyBorder="1" applyAlignment="1">
      <alignment horizontal="right" vertical="center" wrapText="1"/>
    </xf>
    <xf numFmtId="2" fontId="3" fillId="32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" fontId="4" fillId="32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right" vertical="center" wrapText="1"/>
    </xf>
    <xf numFmtId="3" fontId="3" fillId="32" borderId="10" xfId="0" applyNumberFormat="1" applyFont="1" applyFill="1" applyBorder="1" applyAlignment="1">
      <alignment horizontal="right" vertical="center" wrapText="1"/>
    </xf>
    <xf numFmtId="170" fontId="3" fillId="32" borderId="10" xfId="0" applyNumberFormat="1" applyFont="1" applyFill="1" applyBorder="1" applyAlignment="1">
      <alignment horizontal="right" vertical="center" wrapText="1"/>
    </xf>
    <xf numFmtId="170" fontId="3" fillId="0" borderId="0" xfId="0" applyNumberFormat="1" applyFont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4" fillId="0" borderId="11" xfId="0" applyFont="1" applyBorder="1" applyAlignment="1">
      <alignment horizontal="left" vertical="center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horizontal="justify" vertical="center"/>
    </xf>
    <xf numFmtId="0" fontId="3" fillId="0" borderId="0" xfId="0" applyFont="1" applyAlignment="1">
      <alignment/>
    </xf>
    <xf numFmtId="0" fontId="3" fillId="32" borderId="0" xfId="0" applyFont="1" applyFill="1" applyAlignment="1">
      <alignment/>
    </xf>
    <xf numFmtId="0" fontId="1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17" fillId="0" borderId="0" xfId="0" applyFont="1" applyAlignment="1">
      <alignment horizontal="center"/>
    </xf>
    <xf numFmtId="169" fontId="4" fillId="0" borderId="0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/>
    </xf>
    <xf numFmtId="165" fontId="9" fillId="0" borderId="0" xfId="0" applyNumberFormat="1" applyFont="1" applyAlignment="1">
      <alignment/>
    </xf>
    <xf numFmtId="0" fontId="9" fillId="32" borderId="10" xfId="53" applyFont="1" applyFill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horizontal="left" vertical="center" wrapText="1"/>
      <protection/>
    </xf>
    <xf numFmtId="0" fontId="3" fillId="0" borderId="10" xfId="53" applyFont="1" applyFill="1" applyBorder="1" applyAlignment="1">
      <alignment horizontal="left" vertical="center" wrapText="1"/>
      <protection/>
    </xf>
    <xf numFmtId="165" fontId="4" fillId="0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 quotePrefix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/>
    </xf>
    <xf numFmtId="0" fontId="9" fillId="32" borderId="10" xfId="0" applyFont="1" applyFill="1" applyBorder="1" applyAlignment="1" quotePrefix="1">
      <alignment horizontal="center" vertical="center"/>
    </xf>
    <xf numFmtId="0" fontId="10" fillId="33" borderId="10" xfId="0" applyFont="1" applyFill="1" applyBorder="1" applyAlignment="1" quotePrefix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10" fillId="32" borderId="23" xfId="0" applyFont="1" applyFill="1" applyBorder="1" applyAlignment="1" quotePrefix="1">
      <alignment horizontal="center" vertical="center"/>
    </xf>
    <xf numFmtId="0" fontId="10" fillId="32" borderId="10" xfId="0" applyFont="1" applyFill="1" applyBorder="1" applyAlignment="1" quotePrefix="1">
      <alignment horizontal="center" vertical="center"/>
    </xf>
    <xf numFmtId="0" fontId="10" fillId="32" borderId="24" xfId="0" applyFont="1" applyFill="1" applyBorder="1" applyAlignment="1" quotePrefix="1">
      <alignment horizontal="center" vertical="center"/>
    </xf>
    <xf numFmtId="168" fontId="7" fillId="0" borderId="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1" fontId="9" fillId="0" borderId="0" xfId="0" applyNumberFormat="1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 quotePrefix="1">
      <alignment horizontal="center" vertical="center"/>
    </xf>
    <xf numFmtId="0" fontId="10" fillId="0" borderId="10" xfId="0" applyFont="1" applyFill="1" applyBorder="1" applyAlignment="1" quotePrefix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68" fontId="3" fillId="0" borderId="1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Fill="1" applyAlignment="1">
      <alignment horizontal="center" vertical="center"/>
    </xf>
    <xf numFmtId="169" fontId="3" fillId="32" borderId="10" xfId="0" applyNumberFormat="1" applyFont="1" applyFill="1" applyBorder="1" applyAlignment="1">
      <alignment horizontal="right" vertical="center" wrapText="1"/>
    </xf>
    <xf numFmtId="168" fontId="4" fillId="0" borderId="10" xfId="0" applyNumberFormat="1" applyFont="1" applyFill="1" applyBorder="1" applyAlignment="1">
      <alignment horizontal="right" vertical="center" wrapText="1"/>
    </xf>
    <xf numFmtId="165" fontId="3" fillId="0" borderId="10" xfId="0" applyNumberFormat="1" applyFont="1" applyFill="1" applyBorder="1" applyAlignment="1">
      <alignment vertical="center" wrapText="1"/>
    </xf>
    <xf numFmtId="3" fontId="26" fillId="32" borderId="10" xfId="0" applyNumberFormat="1" applyFont="1" applyFill="1" applyBorder="1" applyAlignment="1">
      <alignment horizontal="right" vertical="center" wrapText="1"/>
    </xf>
    <xf numFmtId="49" fontId="3" fillId="0" borderId="10" xfId="0" applyNumberFormat="1" applyFont="1" applyFill="1" applyBorder="1" applyAlignment="1">
      <alignment horizontal="right" vertical="center" wrapText="1"/>
    </xf>
    <xf numFmtId="49" fontId="3" fillId="32" borderId="10" xfId="0" applyNumberFormat="1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49" fontId="3" fillId="32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right" vertical="center" wrapText="1"/>
    </xf>
    <xf numFmtId="1" fontId="26" fillId="0" borderId="10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Fill="1" applyAlignment="1">
      <alignment horizontal="center" vertical="center"/>
    </xf>
    <xf numFmtId="1" fontId="26" fillId="32" borderId="10" xfId="0" applyNumberFormat="1" applyFont="1" applyFill="1" applyBorder="1" applyAlignment="1">
      <alignment horizontal="right" vertical="center" wrapText="1"/>
    </xf>
    <xf numFmtId="1" fontId="26" fillId="32" borderId="10" xfId="0" applyNumberFormat="1" applyFont="1" applyFill="1" applyBorder="1" applyAlignment="1">
      <alignment horizontal="right" vertical="center"/>
    </xf>
    <xf numFmtId="0" fontId="26" fillId="32" borderId="10" xfId="0" applyNumberFormat="1" applyFont="1" applyFill="1" applyBorder="1" applyAlignment="1">
      <alignment horizontal="right" vertical="center" wrapText="1"/>
    </xf>
    <xf numFmtId="0" fontId="26" fillId="32" borderId="10" xfId="0" applyNumberFormat="1" applyFont="1" applyFill="1" applyBorder="1" applyAlignment="1">
      <alignment horizontal="right" vertical="center"/>
    </xf>
    <xf numFmtId="0" fontId="3" fillId="32" borderId="10" xfId="0" applyNumberFormat="1" applyFont="1" applyFill="1" applyBorder="1" applyAlignment="1">
      <alignment horizontal="right" vertical="center" wrapText="1"/>
    </xf>
    <xf numFmtId="0" fontId="26" fillId="0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right" vertical="center"/>
    </xf>
    <xf numFmtId="1" fontId="4" fillId="33" borderId="10" xfId="0" applyNumberFormat="1" applyFont="1" applyFill="1" applyBorder="1" applyAlignment="1">
      <alignment horizontal="right" vertical="center"/>
    </xf>
    <xf numFmtId="165" fontId="4" fillId="32" borderId="10" xfId="0" applyNumberFormat="1" applyFont="1" applyFill="1" applyBorder="1" applyAlignment="1">
      <alignment horizontal="right" vertical="center" wrapText="1"/>
    </xf>
    <xf numFmtId="0" fontId="9" fillId="0" borderId="10" xfId="0" applyNumberFormat="1" applyFont="1" applyFill="1" applyBorder="1" applyAlignment="1">
      <alignment horizontal="right" vertical="center" wrapText="1"/>
    </xf>
    <xf numFmtId="170" fontId="2" fillId="0" borderId="0" xfId="0" applyNumberFormat="1" applyFont="1" applyFill="1" applyAlignment="1">
      <alignment horizontal="center" vertical="center"/>
    </xf>
    <xf numFmtId="165" fontId="3" fillId="0" borderId="0" xfId="0" applyNumberFormat="1" applyFont="1" applyAlignment="1">
      <alignment/>
    </xf>
    <xf numFmtId="49" fontId="3" fillId="32" borderId="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 quotePrefix="1">
      <alignment horizontal="center" vertical="center"/>
    </xf>
    <xf numFmtId="3" fontId="26" fillId="0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/>
    </xf>
    <xf numFmtId="168" fontId="3" fillId="33" borderId="10" xfId="0" applyNumberFormat="1" applyFont="1" applyFill="1" applyBorder="1" applyAlignment="1">
      <alignment horizontal="right" vertical="center" wrapText="1"/>
    </xf>
    <xf numFmtId="165" fontId="3" fillId="33" borderId="10" xfId="0" applyNumberFormat="1" applyFont="1" applyFill="1" applyBorder="1" applyAlignment="1">
      <alignment horizontal="righ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/>
    </xf>
    <xf numFmtId="1" fontId="2" fillId="34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right"/>
    </xf>
    <xf numFmtId="165" fontId="4" fillId="33" borderId="10" xfId="0" applyNumberFormat="1" applyFont="1" applyFill="1" applyBorder="1" applyAlignment="1">
      <alignment horizontal="right" vertical="center" wrapText="1"/>
    </xf>
    <xf numFmtId="165" fontId="27" fillId="33" borderId="10" xfId="0" applyNumberFormat="1" applyFont="1" applyFill="1" applyBorder="1" applyAlignment="1">
      <alignment horizontal="right" vertical="center" wrapText="1"/>
    </xf>
    <xf numFmtId="0" fontId="27" fillId="33" borderId="10" xfId="0" applyNumberFormat="1" applyFont="1" applyFill="1" applyBorder="1" applyAlignment="1">
      <alignment horizontal="righ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1" fontId="27" fillId="33" borderId="10" xfId="0" applyNumberFormat="1" applyFont="1" applyFill="1" applyBorder="1" applyAlignment="1">
      <alignment horizontal="right" vertical="center" wrapText="1"/>
    </xf>
    <xf numFmtId="1" fontId="4" fillId="33" borderId="10" xfId="0" applyNumberFormat="1" applyFont="1" applyFill="1" applyBorder="1" applyAlignment="1">
      <alignment horizontal="right" vertical="center" wrapText="1"/>
    </xf>
    <xf numFmtId="0" fontId="4" fillId="33" borderId="10" xfId="0" applyFont="1" applyFill="1" applyBorder="1" applyAlignment="1">
      <alignment horizontal="left" vertical="center" wrapText="1" shrinkToFit="1"/>
    </xf>
    <xf numFmtId="0" fontId="9" fillId="33" borderId="10" xfId="0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right" vertical="center" wrapText="1"/>
    </xf>
    <xf numFmtId="165" fontId="4" fillId="33" borderId="10" xfId="0" applyNumberFormat="1" applyFont="1" applyFill="1" applyBorder="1" applyAlignment="1">
      <alignment horizontal="right" vertical="center"/>
    </xf>
    <xf numFmtId="0" fontId="4" fillId="33" borderId="10" xfId="0" applyNumberFormat="1" applyFont="1" applyFill="1" applyBorder="1" applyAlignment="1">
      <alignment horizontal="right" vertical="center" wrapText="1"/>
    </xf>
    <xf numFmtId="0" fontId="4" fillId="33" borderId="23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 quotePrefix="1">
      <alignment horizontal="center" vertical="center"/>
    </xf>
    <xf numFmtId="0" fontId="3" fillId="33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vertical="center"/>
    </xf>
    <xf numFmtId="0" fontId="4" fillId="32" borderId="0" xfId="0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32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165" fontId="26" fillId="33" borderId="10" xfId="0" applyNumberFormat="1" applyFont="1" applyFill="1" applyBorder="1" applyAlignment="1">
      <alignment horizontal="right" vertical="center" wrapText="1"/>
    </xf>
    <xf numFmtId="1" fontId="9" fillId="0" borderId="10" xfId="0" applyNumberFormat="1" applyFont="1" applyFill="1" applyBorder="1" applyAlignment="1">
      <alignment horizontal="right" vertical="center" wrapText="1"/>
    </xf>
    <xf numFmtId="0" fontId="3" fillId="32" borderId="10" xfId="0" applyNumberFormat="1" applyFont="1" applyFill="1" applyBorder="1" applyAlignment="1">
      <alignment horizontal="center" vertical="center" wrapText="1"/>
    </xf>
    <xf numFmtId="3" fontId="4" fillId="32" borderId="10" xfId="0" applyNumberFormat="1" applyFont="1" applyFill="1" applyBorder="1" applyAlignment="1">
      <alignment horizontal="right" vertical="center" wrapText="1"/>
    </xf>
    <xf numFmtId="165" fontId="4" fillId="35" borderId="10" xfId="0" applyNumberFormat="1" applyFont="1" applyFill="1" applyBorder="1" applyAlignment="1">
      <alignment horizontal="right" vertical="center" wrapText="1"/>
    </xf>
    <xf numFmtId="0" fontId="4" fillId="35" borderId="23" xfId="0" applyFont="1" applyFill="1" applyBorder="1" applyAlignment="1">
      <alignment horizontal="left" vertical="center" wrapText="1"/>
    </xf>
    <xf numFmtId="0" fontId="10" fillId="35" borderId="23" xfId="0" applyFont="1" applyFill="1" applyBorder="1" applyAlignment="1" quotePrefix="1">
      <alignment horizontal="center" vertical="center"/>
    </xf>
    <xf numFmtId="1" fontId="3" fillId="0" borderId="10" xfId="0" applyNumberFormat="1" applyFont="1" applyFill="1" applyBorder="1" applyAlignment="1">
      <alignment vertical="center" wrapText="1"/>
    </xf>
    <xf numFmtId="1" fontId="3" fillId="32" borderId="10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vertical="center" wrapText="1"/>
    </xf>
    <xf numFmtId="1" fontId="4" fillId="32" borderId="10" xfId="0" applyNumberFormat="1" applyFont="1" applyFill="1" applyBorder="1" applyAlignment="1">
      <alignment vertical="center" wrapText="1"/>
    </xf>
    <xf numFmtId="1" fontId="4" fillId="32" borderId="10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65" fontId="3" fillId="32" borderId="0" xfId="0" applyNumberFormat="1" applyFont="1" applyFill="1" applyBorder="1" applyAlignment="1">
      <alignment horizontal="center" vertical="center" wrapText="1"/>
    </xf>
    <xf numFmtId="0" fontId="3" fillId="32" borderId="0" xfId="0" applyFont="1" applyFill="1" applyBorder="1" applyAlignment="1">
      <alignment horizontal="left" vertical="center"/>
    </xf>
    <xf numFmtId="168" fontId="3" fillId="32" borderId="10" xfId="0" applyNumberFormat="1" applyFont="1" applyFill="1" applyBorder="1" applyAlignment="1">
      <alignment horizontal="right" vertical="center" wrapText="1"/>
    </xf>
    <xf numFmtId="49" fontId="4" fillId="32" borderId="10" xfId="0" applyNumberFormat="1" applyFont="1" applyFill="1" applyBorder="1" applyAlignment="1">
      <alignment horizontal="right" vertical="center" wrapText="1"/>
    </xf>
    <xf numFmtId="0" fontId="3" fillId="32" borderId="10" xfId="0" applyFont="1" applyFill="1" applyBorder="1" applyAlignment="1">
      <alignment horizontal="left" vertical="center"/>
    </xf>
    <xf numFmtId="3" fontId="1" fillId="0" borderId="0" xfId="0" applyNumberFormat="1" applyFont="1" applyFill="1" applyAlignment="1">
      <alignment horizontal="center" vertical="center"/>
    </xf>
    <xf numFmtId="0" fontId="28" fillId="0" borderId="0" xfId="0" applyFont="1" applyBorder="1" applyAlignment="1">
      <alignment/>
    </xf>
    <xf numFmtId="0" fontId="28" fillId="0" borderId="0" xfId="0" applyFont="1" applyAlignment="1">
      <alignment/>
    </xf>
    <xf numFmtId="0" fontId="14" fillId="0" borderId="13" xfId="0" applyFont="1" applyBorder="1" applyAlignment="1">
      <alignment horizontal="center" vertical="center"/>
    </xf>
    <xf numFmtId="0" fontId="16" fillId="0" borderId="0" xfId="0" applyFont="1" applyAlignment="1">
      <alignment horizontal="justify"/>
    </xf>
    <xf numFmtId="0" fontId="15" fillId="0" borderId="13" xfId="0" applyFont="1" applyBorder="1" applyAlignment="1">
      <alignment horizontal="center" vertical="center" wrapText="1"/>
    </xf>
    <xf numFmtId="1" fontId="21" fillId="32" borderId="13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right"/>
    </xf>
    <xf numFmtId="0" fontId="18" fillId="0" borderId="13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 quotePrefix="1">
      <alignment horizontal="center" vertical="center" wrapText="1"/>
    </xf>
    <xf numFmtId="0" fontId="21" fillId="0" borderId="25" xfId="0" applyFont="1" applyFill="1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1" fillId="32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left" vertical="center" wrapText="1"/>
    </xf>
    <xf numFmtId="168" fontId="3" fillId="0" borderId="0" xfId="0" applyNumberFormat="1" applyFont="1" applyFill="1" applyBorder="1" applyAlignment="1" quotePrefix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left" vertical="center" wrapText="1"/>
      <protection/>
    </xf>
    <xf numFmtId="0" fontId="4" fillId="0" borderId="21" xfId="53" applyFont="1" applyFill="1" applyBorder="1" applyAlignment="1">
      <alignment horizontal="center" vertical="center" wrapText="1"/>
      <protection/>
    </xf>
    <xf numFmtId="0" fontId="4" fillId="0" borderId="26" xfId="53" applyFont="1" applyFill="1" applyBorder="1" applyAlignment="1">
      <alignment horizontal="center" vertical="center" wrapText="1"/>
      <protection/>
    </xf>
    <xf numFmtId="0" fontId="4" fillId="32" borderId="21" xfId="53" applyFont="1" applyFill="1" applyBorder="1" applyAlignment="1">
      <alignment horizontal="center" vertical="center" wrapText="1"/>
      <protection/>
    </xf>
    <xf numFmtId="0" fontId="4" fillId="32" borderId="26" xfId="53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9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6.421875" style="92" customWidth="1"/>
    <col min="2" max="2" width="26.7109375" style="92" customWidth="1"/>
    <col min="3" max="5" width="9.57421875" style="92" customWidth="1"/>
    <col min="6" max="6" width="12.00390625" style="92" bestFit="1" customWidth="1"/>
    <col min="7" max="7" width="6.140625" style="92" bestFit="1" customWidth="1"/>
    <col min="8" max="8" width="15.28125" style="92" customWidth="1"/>
    <col min="9" max="16384" width="9.140625" style="92" customWidth="1"/>
  </cols>
  <sheetData>
    <row r="1" spans="2:8" ht="18.75">
      <c r="B1" s="23"/>
      <c r="E1" s="217" t="s">
        <v>156</v>
      </c>
      <c r="F1" s="217"/>
      <c r="G1" s="217"/>
      <c r="H1" s="217"/>
    </row>
    <row r="2" spans="2:9" ht="18.75">
      <c r="B2" s="23"/>
      <c r="E2" s="214" t="s">
        <v>309</v>
      </c>
      <c r="F2" s="214"/>
      <c r="G2" s="214"/>
      <c r="H2" s="214"/>
      <c r="I2" s="93"/>
    </row>
    <row r="3" spans="2:9" ht="18.75">
      <c r="B3" s="23"/>
      <c r="E3" s="214" t="s">
        <v>310</v>
      </c>
      <c r="F3" s="214"/>
      <c r="G3" s="214"/>
      <c r="H3" s="214"/>
      <c r="I3" s="93"/>
    </row>
    <row r="4" spans="2:8" ht="18.75">
      <c r="B4" s="23"/>
      <c r="E4" s="215" t="s">
        <v>311</v>
      </c>
      <c r="F4" s="215"/>
      <c r="G4" s="215"/>
      <c r="H4" s="215"/>
    </row>
    <row r="5" ht="15.75">
      <c r="B5" s="23"/>
    </row>
    <row r="6" ht="20.25" customHeight="1" thickBot="1">
      <c r="B6" s="23"/>
    </row>
    <row r="7" spans="2:8" ht="15.75">
      <c r="B7" s="25"/>
      <c r="C7" s="25"/>
      <c r="D7" s="24"/>
      <c r="E7" s="24"/>
      <c r="F7" s="24"/>
      <c r="G7" s="35" t="s">
        <v>111</v>
      </c>
      <c r="H7" s="36"/>
    </row>
    <row r="8" spans="2:8" ht="16.5" thickBot="1">
      <c r="B8" s="32"/>
      <c r="C8" s="23"/>
      <c r="D8" s="23"/>
      <c r="E8" s="23"/>
      <c r="F8" s="25" t="s">
        <v>109</v>
      </c>
      <c r="G8" s="37"/>
      <c r="H8" s="38">
        <v>2021</v>
      </c>
    </row>
    <row r="9" spans="2:8" ht="73.5" customHeight="1" thickBot="1">
      <c r="B9" s="41" t="s">
        <v>112</v>
      </c>
      <c r="C9" s="221" t="s">
        <v>201</v>
      </c>
      <c r="D9" s="221"/>
      <c r="E9" s="221"/>
      <c r="F9" s="26" t="s">
        <v>113</v>
      </c>
      <c r="G9" s="222">
        <v>31345419</v>
      </c>
      <c r="H9" s="223"/>
    </row>
    <row r="10" spans="2:8" ht="32.25" thickBot="1">
      <c r="B10" s="27" t="s">
        <v>114</v>
      </c>
      <c r="C10" s="218" t="s">
        <v>143</v>
      </c>
      <c r="D10" s="218"/>
      <c r="E10" s="218"/>
      <c r="F10" s="29" t="s">
        <v>115</v>
      </c>
      <c r="G10" s="91">
        <v>150</v>
      </c>
      <c r="H10" s="94"/>
    </row>
    <row r="11" spans="2:8" ht="24.75" customHeight="1" thickBot="1">
      <c r="B11" s="27" t="s">
        <v>116</v>
      </c>
      <c r="C11" s="218"/>
      <c r="D11" s="218"/>
      <c r="E11" s="218"/>
      <c r="F11" s="29" t="s">
        <v>117</v>
      </c>
      <c r="G11" s="91" t="s">
        <v>144</v>
      </c>
      <c r="H11" s="94"/>
    </row>
    <row r="12" spans="2:8" ht="34.5" customHeight="1" thickBot="1">
      <c r="B12" s="27" t="s">
        <v>118</v>
      </c>
      <c r="C12" s="218"/>
      <c r="D12" s="218"/>
      <c r="E12" s="218"/>
      <c r="F12" s="29" t="s">
        <v>119</v>
      </c>
      <c r="G12" s="91" t="s">
        <v>157</v>
      </c>
      <c r="H12" s="94"/>
    </row>
    <row r="13" spans="2:8" ht="32.25" customHeight="1" thickBot="1">
      <c r="B13" s="27" t="s">
        <v>120</v>
      </c>
      <c r="C13" s="28"/>
      <c r="D13" s="28"/>
      <c r="E13" s="28"/>
      <c r="F13" s="29"/>
      <c r="G13" s="29"/>
      <c r="H13" s="26"/>
    </row>
    <row r="14" spans="2:8" ht="21.75" customHeight="1" thickBot="1">
      <c r="B14" s="27" t="s">
        <v>121</v>
      </c>
      <c r="C14" s="218" t="s">
        <v>145</v>
      </c>
      <c r="D14" s="218"/>
      <c r="E14" s="218"/>
      <c r="F14" s="29"/>
      <c r="G14" s="29"/>
      <c r="H14" s="26"/>
    </row>
    <row r="15" spans="2:8" ht="21.75" customHeight="1" thickBot="1">
      <c r="B15" s="27" t="s">
        <v>122</v>
      </c>
      <c r="C15" s="219">
        <v>137</v>
      </c>
      <c r="D15" s="219"/>
      <c r="E15" s="219"/>
      <c r="F15" s="28"/>
      <c r="G15" s="29"/>
      <c r="H15" s="26"/>
    </row>
    <row r="16" spans="2:8" ht="21.75" customHeight="1" thickBot="1">
      <c r="B16" s="27" t="s">
        <v>123</v>
      </c>
      <c r="C16" s="216" t="s">
        <v>197</v>
      </c>
      <c r="D16" s="216"/>
      <c r="E16" s="216"/>
      <c r="F16" s="216"/>
      <c r="G16" s="29"/>
      <c r="H16" s="26"/>
    </row>
    <row r="17" spans="2:8" ht="21.75" customHeight="1" thickBot="1">
      <c r="B17" s="27" t="s">
        <v>124</v>
      </c>
      <c r="C17" s="216" t="s">
        <v>202</v>
      </c>
      <c r="D17" s="216"/>
      <c r="E17" s="216"/>
      <c r="F17" s="216"/>
      <c r="G17" s="30"/>
      <c r="H17" s="31"/>
    </row>
    <row r="18" spans="3:8" ht="15.75">
      <c r="C18" s="30"/>
      <c r="D18" s="30"/>
      <c r="E18" s="30"/>
      <c r="F18" s="30"/>
      <c r="G18" s="30"/>
      <c r="H18" s="30"/>
    </row>
    <row r="19" spans="2:8" ht="15.75">
      <c r="B19" s="25" t="s">
        <v>125</v>
      </c>
      <c r="D19" s="220" t="s">
        <v>183</v>
      </c>
      <c r="E19" s="220"/>
      <c r="F19" s="220"/>
      <c r="G19" s="220"/>
      <c r="H19" s="23"/>
    </row>
    <row r="20" spans="2:8" ht="15.75">
      <c r="B20" s="23"/>
      <c r="C20" s="23"/>
      <c r="D20" s="23"/>
      <c r="E20" s="23"/>
      <c r="F20" s="25"/>
      <c r="G20" s="23"/>
      <c r="H20" s="23"/>
    </row>
    <row r="21" spans="2:8" ht="15.75">
      <c r="B21" s="95"/>
      <c r="C21" s="95"/>
      <c r="D21" s="95"/>
      <c r="E21" s="95"/>
      <c r="F21" s="95"/>
      <c r="G21" s="95"/>
      <c r="H21" s="95"/>
    </row>
    <row r="22" ht="15.75">
      <c r="B22" s="96"/>
    </row>
    <row r="23" ht="15.75">
      <c r="B23" s="22"/>
    </row>
    <row r="24" ht="15.75">
      <c r="B24" s="22"/>
    </row>
    <row r="25" ht="15.75">
      <c r="B25" s="22"/>
    </row>
    <row r="26" ht="15.75">
      <c r="B26" s="22"/>
    </row>
    <row r="27" ht="15.75">
      <c r="B27" s="22"/>
    </row>
    <row r="28" ht="15.75">
      <c r="B28" s="22"/>
    </row>
    <row r="29" ht="15.75">
      <c r="B29" s="22"/>
    </row>
  </sheetData>
  <sheetProtection/>
  <mergeCells count="11">
    <mergeCell ref="C16:F16"/>
    <mergeCell ref="C17:F17"/>
    <mergeCell ref="E1:H1"/>
    <mergeCell ref="C12:E12"/>
    <mergeCell ref="C14:E14"/>
    <mergeCell ref="C15:E15"/>
    <mergeCell ref="D19:G19"/>
    <mergeCell ref="C9:E9"/>
    <mergeCell ref="G9:H9"/>
    <mergeCell ref="C10:E10"/>
    <mergeCell ref="C11:E11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19"/>
  <sheetViews>
    <sheetView zoomScalePageLayoutView="0" workbookViewId="0" topLeftCell="A1">
      <selection activeCell="A6" sqref="A6:G6"/>
    </sheetView>
  </sheetViews>
  <sheetFormatPr defaultColWidth="9.140625" defaultRowHeight="12.75"/>
  <cols>
    <col min="1" max="1" width="37.00390625" style="68" customWidth="1"/>
    <col min="2" max="2" width="7.140625" style="68" customWidth="1"/>
    <col min="3" max="3" width="9.7109375" style="69" customWidth="1"/>
    <col min="4" max="7" width="9.7109375" style="68" customWidth="1"/>
    <col min="8" max="8" width="9.140625" style="68" hidden="1" customWidth="1"/>
    <col min="9" max="9" width="9.140625" style="90" hidden="1" customWidth="1"/>
    <col min="10" max="10" width="9.140625" style="68" hidden="1" customWidth="1"/>
    <col min="11" max="11" width="24.7109375" style="68" hidden="1" customWidth="1"/>
    <col min="12" max="22" width="9.140625" style="68" hidden="1" customWidth="1"/>
    <col min="23" max="24" width="0" style="68" hidden="1" customWidth="1"/>
    <col min="25" max="25" width="36.57421875" style="68" hidden="1" customWidth="1"/>
    <col min="26" max="26" width="0" style="68" hidden="1" customWidth="1"/>
    <col min="27" max="16384" width="9.140625" style="68" customWidth="1"/>
  </cols>
  <sheetData>
    <row r="1" spans="1:26" ht="18" customHeight="1">
      <c r="A1" s="229" t="s">
        <v>283</v>
      </c>
      <c r="B1" s="229"/>
      <c r="C1" s="229"/>
      <c r="D1" s="229"/>
      <c r="E1" s="229"/>
      <c r="F1" s="229"/>
      <c r="G1" s="229"/>
      <c r="Z1" s="68" t="s">
        <v>296</v>
      </c>
    </row>
    <row r="2" spans="1:7" ht="15.75">
      <c r="A2" s="229" t="s">
        <v>284</v>
      </c>
      <c r="B2" s="229"/>
      <c r="C2" s="229"/>
      <c r="D2" s="229"/>
      <c r="E2" s="229"/>
      <c r="F2" s="229"/>
      <c r="G2" s="229"/>
    </row>
    <row r="3" spans="1:7" ht="15.75">
      <c r="A3" s="230" t="s">
        <v>285</v>
      </c>
      <c r="B3" s="230"/>
      <c r="C3" s="230"/>
      <c r="D3" s="230"/>
      <c r="E3" s="230"/>
      <c r="F3" s="230"/>
      <c r="G3" s="230"/>
    </row>
    <row r="4" spans="1:7" ht="15.75">
      <c r="A4" s="231" t="s">
        <v>286</v>
      </c>
      <c r="B4" s="231"/>
      <c r="C4" s="231"/>
      <c r="D4" s="231"/>
      <c r="E4" s="231"/>
      <c r="F4" s="231"/>
      <c r="G4" s="231"/>
    </row>
    <row r="5" spans="1:7" ht="15.75">
      <c r="A5" s="183"/>
      <c r="B5" s="183"/>
      <c r="C5" s="120"/>
      <c r="D5" s="120"/>
      <c r="E5" s="120"/>
      <c r="F5" s="120"/>
      <c r="G5" s="120" t="s">
        <v>110</v>
      </c>
    </row>
    <row r="6" spans="1:7" ht="15.75">
      <c r="A6" s="228" t="s">
        <v>0</v>
      </c>
      <c r="B6" s="228"/>
      <c r="C6" s="228"/>
      <c r="D6" s="228"/>
      <c r="E6" s="228"/>
      <c r="F6" s="228"/>
      <c r="G6" s="228"/>
    </row>
    <row r="7" spans="1:7" ht="15" customHeight="1">
      <c r="A7" s="184"/>
      <c r="B7" s="185"/>
      <c r="C7" s="184"/>
      <c r="D7" s="184"/>
      <c r="E7" s="185"/>
      <c r="F7" s="184"/>
      <c r="G7" s="184"/>
    </row>
    <row r="8" spans="1:26" ht="66" customHeight="1">
      <c r="A8" s="182" t="s">
        <v>1</v>
      </c>
      <c r="B8" s="58" t="s">
        <v>2</v>
      </c>
      <c r="C8" s="58" t="s">
        <v>196</v>
      </c>
      <c r="D8" s="58" t="s">
        <v>279</v>
      </c>
      <c r="E8" s="58" t="s">
        <v>280</v>
      </c>
      <c r="F8" s="58" t="s">
        <v>281</v>
      </c>
      <c r="G8" s="58" t="s">
        <v>282</v>
      </c>
      <c r="K8" s="127"/>
      <c r="L8" s="127"/>
      <c r="M8" s="127"/>
      <c r="Z8" s="68" t="s">
        <v>280</v>
      </c>
    </row>
    <row r="9" spans="1:26" s="90" customFormat="1" ht="12.75">
      <c r="A9" s="44">
        <v>1</v>
      </c>
      <c r="B9" s="21">
        <v>2</v>
      </c>
      <c r="C9" s="61">
        <v>3</v>
      </c>
      <c r="D9" s="21">
        <v>4</v>
      </c>
      <c r="E9" s="21">
        <v>6</v>
      </c>
      <c r="F9" s="21">
        <v>7</v>
      </c>
      <c r="G9" s="21">
        <v>8</v>
      </c>
      <c r="K9" s="127"/>
      <c r="L9" s="127"/>
      <c r="M9" s="127"/>
      <c r="Z9" s="90">
        <v>6</v>
      </c>
    </row>
    <row r="10" spans="1:13" ht="15.75">
      <c r="A10" s="4" t="s">
        <v>3</v>
      </c>
      <c r="B10" s="123"/>
      <c r="C10" s="58"/>
      <c r="D10" s="5"/>
      <c r="E10" s="70"/>
      <c r="F10" s="70"/>
      <c r="G10" s="70"/>
      <c r="K10" s="127"/>
      <c r="L10" s="127"/>
      <c r="M10" s="127"/>
    </row>
    <row r="11" spans="1:26" ht="28.5">
      <c r="A11" s="57" t="s">
        <v>4</v>
      </c>
      <c r="B11" s="114">
        <v>1000</v>
      </c>
      <c r="C11" s="168">
        <v>27145</v>
      </c>
      <c r="D11" s="169">
        <v>31012</v>
      </c>
      <c r="E11" s="170">
        <v>27146</v>
      </c>
      <c r="F11" s="171">
        <f>E11-D11</f>
        <v>-3866</v>
      </c>
      <c r="G11" s="171">
        <f>E11/D11*100</f>
        <v>87.53385786147298</v>
      </c>
      <c r="I11" s="121"/>
      <c r="K11" s="128"/>
      <c r="L11" s="127"/>
      <c r="M11" s="127"/>
      <c r="W11" s="68">
        <v>27146</v>
      </c>
      <c r="X11" s="126">
        <f>E11-W11</f>
        <v>0</v>
      </c>
      <c r="Z11" s="68">
        <v>27146</v>
      </c>
    </row>
    <row r="12" spans="1:26" ht="27.75" customHeight="1">
      <c r="A12" s="57" t="s">
        <v>5</v>
      </c>
      <c r="B12" s="114">
        <v>1010</v>
      </c>
      <c r="C12" s="168">
        <f>SUM(C13:C25)</f>
        <v>21774</v>
      </c>
      <c r="D12" s="169">
        <f>SUM(D13:D25)</f>
        <v>25700.78</v>
      </c>
      <c r="E12" s="169">
        <f>SUM(E13:E25)</f>
        <v>22042</v>
      </c>
      <c r="F12" s="171">
        <f aca="true" t="shared" si="0" ref="F12:F75">E12-D12</f>
        <v>-3658.779999999999</v>
      </c>
      <c r="G12" s="171">
        <f aca="true" t="shared" si="1" ref="G12:G75">E12/D12*100</f>
        <v>85.76393401289766</v>
      </c>
      <c r="I12" s="121"/>
      <c r="K12" s="128"/>
      <c r="L12" s="127"/>
      <c r="M12" s="127"/>
      <c r="W12" s="68">
        <v>22042</v>
      </c>
      <c r="X12" s="126">
        <f>E12-W12</f>
        <v>0</v>
      </c>
      <c r="Z12" s="68">
        <v>25910</v>
      </c>
    </row>
    <row r="13" spans="1:13" ht="28.5" customHeight="1">
      <c r="A13" s="1" t="s">
        <v>6</v>
      </c>
      <c r="B13" s="21">
        <v>1011</v>
      </c>
      <c r="C13" s="79">
        <v>922</v>
      </c>
      <c r="D13" s="144">
        <v>1109</v>
      </c>
      <c r="E13" s="144">
        <f>928+94</f>
        <v>1022</v>
      </c>
      <c r="F13" s="198">
        <f t="shared" si="0"/>
        <v>-87</v>
      </c>
      <c r="G13" s="198">
        <f t="shared" si="1"/>
        <v>92.15509467989179</v>
      </c>
      <c r="H13" s="126"/>
      <c r="I13" s="121"/>
      <c r="K13" s="128"/>
      <c r="L13" s="127"/>
      <c r="M13" s="127"/>
    </row>
    <row r="14" spans="1:13" ht="15.75">
      <c r="A14" s="1" t="s">
        <v>7</v>
      </c>
      <c r="B14" s="21">
        <v>1012</v>
      </c>
      <c r="C14" s="79">
        <v>7</v>
      </c>
      <c r="D14" s="144"/>
      <c r="E14" s="146"/>
      <c r="F14" s="198"/>
      <c r="G14" s="198"/>
      <c r="H14" s="72"/>
      <c r="I14" s="121"/>
      <c r="K14" s="127"/>
      <c r="L14" s="127"/>
      <c r="M14" s="127"/>
    </row>
    <row r="15" spans="1:13" ht="15.75">
      <c r="A15" s="1" t="s">
        <v>8</v>
      </c>
      <c r="B15" s="21">
        <v>1013</v>
      </c>
      <c r="C15" s="79">
        <v>1218</v>
      </c>
      <c r="D15" s="144">
        <v>1256</v>
      </c>
      <c r="E15" s="144">
        <v>1075</v>
      </c>
      <c r="F15" s="198">
        <f t="shared" si="0"/>
        <v>-181</v>
      </c>
      <c r="G15" s="198">
        <f t="shared" si="1"/>
        <v>85.58917197452229</v>
      </c>
      <c r="I15" s="121"/>
      <c r="K15" s="127"/>
      <c r="L15" s="127"/>
      <c r="M15" s="127"/>
    </row>
    <row r="16" spans="1:26" ht="15.75">
      <c r="A16" s="1" t="s">
        <v>9</v>
      </c>
      <c r="B16" s="21">
        <v>1014</v>
      </c>
      <c r="C16" s="79">
        <v>6903</v>
      </c>
      <c r="D16" s="144">
        <v>8637</v>
      </c>
      <c r="E16" s="144">
        <v>7131</v>
      </c>
      <c r="F16" s="198">
        <f t="shared" si="0"/>
        <v>-1506</v>
      </c>
      <c r="G16" s="198">
        <f t="shared" si="1"/>
        <v>82.56339006599514</v>
      </c>
      <c r="I16" s="121"/>
      <c r="K16" s="127"/>
      <c r="L16" s="127"/>
      <c r="M16" s="127"/>
      <c r="Z16" s="68">
        <v>14183</v>
      </c>
    </row>
    <row r="17" spans="1:26" ht="15.75">
      <c r="A17" s="1" t="s">
        <v>10</v>
      </c>
      <c r="B17" s="21">
        <v>1015</v>
      </c>
      <c r="C17" s="79">
        <v>1423</v>
      </c>
      <c r="D17" s="144">
        <f>D16*0.22</f>
        <v>1900.14</v>
      </c>
      <c r="E17" s="144">
        <v>1526</v>
      </c>
      <c r="F17" s="198">
        <f t="shared" si="0"/>
        <v>-374.1400000000001</v>
      </c>
      <c r="G17" s="198">
        <f t="shared" si="1"/>
        <v>80.30987190417548</v>
      </c>
      <c r="I17" s="121"/>
      <c r="K17" s="127"/>
      <c r="L17" s="127"/>
      <c r="M17" s="127"/>
      <c r="Z17" s="68">
        <v>3007</v>
      </c>
    </row>
    <row r="18" spans="1:13" ht="60">
      <c r="A18" s="1" t="s">
        <v>274</v>
      </c>
      <c r="B18" s="3">
        <v>1016</v>
      </c>
      <c r="C18" s="79"/>
      <c r="D18" s="144"/>
      <c r="E18" s="144"/>
      <c r="F18" s="198"/>
      <c r="G18" s="198"/>
      <c r="I18" s="121"/>
      <c r="K18" s="127"/>
      <c r="L18" s="127"/>
      <c r="M18" s="127"/>
    </row>
    <row r="19" spans="1:13" ht="15.75">
      <c r="A19" s="1" t="s">
        <v>182</v>
      </c>
      <c r="B19" s="21" t="s">
        <v>275</v>
      </c>
      <c r="C19" s="79">
        <v>2634</v>
      </c>
      <c r="D19" s="144">
        <v>2843</v>
      </c>
      <c r="E19" s="144">
        <v>2167</v>
      </c>
      <c r="F19" s="198">
        <f t="shared" si="0"/>
        <v>-676</v>
      </c>
      <c r="G19" s="198">
        <f t="shared" si="1"/>
        <v>76.22230038691524</v>
      </c>
      <c r="I19" s="121"/>
      <c r="K19" s="127"/>
      <c r="L19" s="127"/>
      <c r="M19" s="127"/>
    </row>
    <row r="20" spans="1:26" ht="30">
      <c r="A20" s="1" t="s">
        <v>179</v>
      </c>
      <c r="B20" s="21" t="s">
        <v>276</v>
      </c>
      <c r="C20" s="79">
        <v>1178</v>
      </c>
      <c r="D20" s="144">
        <v>1204</v>
      </c>
      <c r="E20" s="144">
        <v>962</v>
      </c>
      <c r="F20" s="198">
        <f t="shared" si="0"/>
        <v>-242</v>
      </c>
      <c r="G20" s="198">
        <f t="shared" si="1"/>
        <v>79.90033222591362</v>
      </c>
      <c r="I20" s="121"/>
      <c r="K20" s="127"/>
      <c r="L20" s="127"/>
      <c r="M20" s="127"/>
      <c r="Z20" s="68">
        <v>962</v>
      </c>
    </row>
    <row r="21" spans="1:13" ht="30">
      <c r="A21" s="1" t="s">
        <v>11</v>
      </c>
      <c r="B21" s="21">
        <v>1017</v>
      </c>
      <c r="C21" s="79">
        <v>133</v>
      </c>
      <c r="D21" s="145">
        <v>118</v>
      </c>
      <c r="E21" s="147">
        <v>46</v>
      </c>
      <c r="F21" s="198">
        <f t="shared" si="0"/>
        <v>-72</v>
      </c>
      <c r="G21" s="198">
        <f t="shared" si="1"/>
        <v>38.983050847457626</v>
      </c>
      <c r="I21" s="121"/>
      <c r="K21" s="127"/>
      <c r="L21" s="127"/>
      <c r="M21" s="127"/>
    </row>
    <row r="22" spans="1:13" ht="15.75">
      <c r="A22" s="1" t="s">
        <v>277</v>
      </c>
      <c r="B22" s="21">
        <v>1018</v>
      </c>
      <c r="C22" s="79"/>
      <c r="D22" s="145"/>
      <c r="E22" s="147"/>
      <c r="F22" s="198"/>
      <c r="G22" s="198"/>
      <c r="I22" s="121"/>
      <c r="K22" s="127"/>
      <c r="L22" s="127"/>
      <c r="M22" s="127"/>
    </row>
    <row r="23" spans="1:26" ht="14.25" customHeight="1">
      <c r="A23" s="212" t="s">
        <v>180</v>
      </c>
      <c r="B23" s="61">
        <v>1019</v>
      </c>
      <c r="C23" s="79">
        <v>5064</v>
      </c>
      <c r="D23" s="144">
        <f>203+5568</f>
        <v>5771</v>
      </c>
      <c r="E23" s="144">
        <v>5923</v>
      </c>
      <c r="F23" s="198">
        <f>E23-D23</f>
        <v>152</v>
      </c>
      <c r="G23" s="198">
        <f t="shared" si="1"/>
        <v>102.63385894992203</v>
      </c>
      <c r="H23" s="226" t="s">
        <v>226</v>
      </c>
      <c r="I23" s="227"/>
      <c r="J23" s="227"/>
      <c r="K23" s="227"/>
      <c r="L23" s="227"/>
      <c r="M23" s="227"/>
      <c r="N23" s="227"/>
      <c r="O23" s="227"/>
      <c r="P23" s="227"/>
      <c r="Q23" s="227"/>
      <c r="R23" s="143" t="s">
        <v>227</v>
      </c>
      <c r="S23" s="143" t="s">
        <v>228</v>
      </c>
      <c r="T23" s="143"/>
      <c r="U23" s="143" t="s">
        <v>229</v>
      </c>
      <c r="V23" s="143" t="s">
        <v>230</v>
      </c>
      <c r="Z23" s="68">
        <v>5923</v>
      </c>
    </row>
    <row r="24" spans="1:26" ht="15.75" customHeight="1">
      <c r="A24" s="1" t="s">
        <v>181</v>
      </c>
      <c r="B24" s="21">
        <v>1020</v>
      </c>
      <c r="C24" s="79">
        <v>1559</v>
      </c>
      <c r="D24" s="144">
        <f>1415.64+1100</f>
        <v>2515.6400000000003</v>
      </c>
      <c r="E24" s="144">
        <v>1835</v>
      </c>
      <c r="F24" s="198">
        <f t="shared" si="0"/>
        <v>-680.6400000000003</v>
      </c>
      <c r="G24" s="198">
        <f t="shared" si="1"/>
        <v>72.9436644352928</v>
      </c>
      <c r="H24" s="226" t="s">
        <v>238</v>
      </c>
      <c r="I24" s="227"/>
      <c r="J24" s="227"/>
      <c r="K24" s="227"/>
      <c r="L24" s="227"/>
      <c r="M24" s="227"/>
      <c r="N24" s="227"/>
      <c r="O24" s="227"/>
      <c r="P24" s="227"/>
      <c r="Q24" s="227"/>
      <c r="R24" s="143" t="s">
        <v>231</v>
      </c>
      <c r="S24" s="143" t="s">
        <v>232</v>
      </c>
      <c r="T24" s="143" t="s">
        <v>233</v>
      </c>
      <c r="U24" s="143" t="s">
        <v>234</v>
      </c>
      <c r="Z24" s="68">
        <v>1835</v>
      </c>
    </row>
    <row r="25" spans="1:19" ht="45">
      <c r="A25" s="1" t="s">
        <v>213</v>
      </c>
      <c r="B25" s="21">
        <v>1021</v>
      </c>
      <c r="C25" s="79">
        <v>733</v>
      </c>
      <c r="D25" s="144">
        <v>347</v>
      </c>
      <c r="E25" s="144">
        <f>197+25+5+136-8</f>
        <v>355</v>
      </c>
      <c r="F25" s="198">
        <f t="shared" si="0"/>
        <v>8</v>
      </c>
      <c r="G25" s="198">
        <f t="shared" si="1"/>
        <v>102.30547550432276</v>
      </c>
      <c r="I25" s="121"/>
      <c r="J25" s="126"/>
      <c r="K25" s="128"/>
      <c r="L25" s="127"/>
      <c r="M25" s="127"/>
      <c r="S25" s="143"/>
    </row>
    <row r="26" spans="1:26" ht="15.75">
      <c r="A26" s="57" t="s">
        <v>13</v>
      </c>
      <c r="B26" s="114">
        <v>1020</v>
      </c>
      <c r="C26" s="168">
        <f>C11-C12</f>
        <v>5371</v>
      </c>
      <c r="D26" s="168">
        <f>D11-D12</f>
        <v>5311.220000000001</v>
      </c>
      <c r="E26" s="168">
        <f>E11-E12</f>
        <v>5104</v>
      </c>
      <c r="F26" s="171">
        <f t="shared" si="0"/>
        <v>-207.22000000000116</v>
      </c>
      <c r="G26" s="171">
        <f t="shared" si="1"/>
        <v>96.09844819081113</v>
      </c>
      <c r="I26" s="121"/>
      <c r="K26" s="127"/>
      <c r="L26" s="127"/>
      <c r="M26" s="127"/>
      <c r="R26" s="72">
        <f>R23/4</f>
        <v>708.25</v>
      </c>
      <c r="U26" s="72">
        <f>U23/4</f>
        <v>107.75</v>
      </c>
      <c r="W26" s="68">
        <v>5104</v>
      </c>
      <c r="X26" s="139">
        <f>E26-W26</f>
        <v>0</v>
      </c>
      <c r="Z26" s="68">
        <v>1236</v>
      </c>
    </row>
    <row r="27" spans="1:26" s="60" customFormat="1" ht="15.75">
      <c r="A27" s="57" t="s">
        <v>149</v>
      </c>
      <c r="B27" s="114">
        <v>1030</v>
      </c>
      <c r="C27" s="172">
        <f>SUM(C28:C67)</f>
        <v>3936</v>
      </c>
      <c r="D27" s="172">
        <f>SUM(D28:D67)</f>
        <v>4363.62</v>
      </c>
      <c r="E27" s="172">
        <f>SUM(E28:E67)</f>
        <v>4449</v>
      </c>
      <c r="F27" s="171">
        <f t="shared" si="0"/>
        <v>85.38000000000011</v>
      </c>
      <c r="G27" s="171">
        <f t="shared" si="1"/>
        <v>101.95663233737126</v>
      </c>
      <c r="I27" s="122"/>
      <c r="J27" s="131"/>
      <c r="K27" s="129"/>
      <c r="L27" s="129"/>
      <c r="M27" s="129"/>
      <c r="R27" s="139">
        <f>R24/4</f>
        <v>511.75</v>
      </c>
      <c r="U27" s="139">
        <f>U24/4</f>
        <v>21.5</v>
      </c>
      <c r="W27" s="60">
        <v>4449</v>
      </c>
      <c r="X27" s="139">
        <f>E27-W27</f>
        <v>0</v>
      </c>
      <c r="Z27" s="60">
        <v>4458</v>
      </c>
    </row>
    <row r="28" spans="1:26" ht="30">
      <c r="A28" s="1" t="s">
        <v>14</v>
      </c>
      <c r="B28" s="124">
        <v>1031</v>
      </c>
      <c r="C28" s="78">
        <v>176</v>
      </c>
      <c r="D28" s="75">
        <v>61</v>
      </c>
      <c r="E28" s="146">
        <v>193</v>
      </c>
      <c r="F28" s="198">
        <f t="shared" si="0"/>
        <v>132</v>
      </c>
      <c r="G28" s="198">
        <f t="shared" si="1"/>
        <v>316.39344262295083</v>
      </c>
      <c r="I28" s="121"/>
      <c r="K28" s="127"/>
      <c r="L28" s="127"/>
      <c r="M28" s="127"/>
      <c r="U28" s="72">
        <f>V23/4</f>
        <v>575.75</v>
      </c>
      <c r="Z28" s="68">
        <v>200</v>
      </c>
    </row>
    <row r="29" spans="1:13" ht="30">
      <c r="A29" s="1" t="s">
        <v>215</v>
      </c>
      <c r="B29" s="124">
        <v>1032</v>
      </c>
      <c r="C29" s="78"/>
      <c r="D29" s="75"/>
      <c r="E29" s="135"/>
      <c r="F29" s="198"/>
      <c r="G29" s="198"/>
      <c r="I29" s="121"/>
      <c r="K29" s="127"/>
      <c r="L29" s="127"/>
      <c r="M29" s="127"/>
    </row>
    <row r="30" spans="1:13" ht="15.75">
      <c r="A30" s="1" t="s">
        <v>15</v>
      </c>
      <c r="B30" s="124">
        <v>1033</v>
      </c>
      <c r="C30" s="78"/>
      <c r="D30" s="75"/>
      <c r="E30" s="135"/>
      <c r="F30" s="198"/>
      <c r="G30" s="198"/>
      <c r="I30" s="121"/>
      <c r="K30" s="127"/>
      <c r="L30" s="127"/>
      <c r="M30" s="127"/>
    </row>
    <row r="31" spans="1:13" ht="15.75">
      <c r="A31" s="1" t="s">
        <v>16</v>
      </c>
      <c r="B31" s="124">
        <v>1034</v>
      </c>
      <c r="C31" s="78"/>
      <c r="D31" s="75"/>
      <c r="E31" s="135"/>
      <c r="F31" s="198"/>
      <c r="G31" s="198"/>
      <c r="I31" s="121"/>
      <c r="K31" s="127"/>
      <c r="L31" s="127"/>
      <c r="M31" s="127"/>
    </row>
    <row r="32" spans="1:13" ht="15.75">
      <c r="A32" s="1" t="s">
        <v>17</v>
      </c>
      <c r="B32" s="124">
        <v>1035</v>
      </c>
      <c r="C32" s="78"/>
      <c r="D32" s="75"/>
      <c r="E32" s="135"/>
      <c r="F32" s="198"/>
      <c r="G32" s="198"/>
      <c r="I32" s="121"/>
      <c r="K32" s="127"/>
      <c r="L32" s="127"/>
      <c r="M32" s="127"/>
    </row>
    <row r="33" spans="1:26" ht="15.75">
      <c r="A33" s="1" t="s">
        <v>18</v>
      </c>
      <c r="B33" s="124">
        <v>1036</v>
      </c>
      <c r="C33" s="78">
        <v>2</v>
      </c>
      <c r="D33" s="75">
        <v>14</v>
      </c>
      <c r="E33" s="135">
        <v>5</v>
      </c>
      <c r="F33" s="198">
        <f t="shared" si="0"/>
        <v>-9</v>
      </c>
      <c r="G33" s="198">
        <f t="shared" si="1"/>
        <v>35.714285714285715</v>
      </c>
      <c r="I33" s="121"/>
      <c r="K33" s="127"/>
      <c r="L33" s="127"/>
      <c r="M33" s="127"/>
      <c r="Z33" s="68">
        <v>5</v>
      </c>
    </row>
    <row r="34" spans="1:26" ht="15.75">
      <c r="A34" s="1" t="s">
        <v>19</v>
      </c>
      <c r="B34" s="124">
        <v>1037</v>
      </c>
      <c r="C34" s="78">
        <v>30</v>
      </c>
      <c r="D34" s="75">
        <v>32</v>
      </c>
      <c r="E34" s="135">
        <v>30</v>
      </c>
      <c r="F34" s="198">
        <f t="shared" si="0"/>
        <v>-2</v>
      </c>
      <c r="G34" s="198">
        <f t="shared" si="1"/>
        <v>93.75</v>
      </c>
      <c r="I34" s="121"/>
      <c r="K34" s="127"/>
      <c r="L34" s="127"/>
      <c r="M34" s="127"/>
      <c r="Z34" s="68">
        <v>30</v>
      </c>
    </row>
    <row r="35" spans="1:26" ht="15.75">
      <c r="A35" s="1" t="s">
        <v>20</v>
      </c>
      <c r="B35" s="124">
        <v>1038</v>
      </c>
      <c r="C35" s="78">
        <v>2701</v>
      </c>
      <c r="D35" s="75">
        <v>3271</v>
      </c>
      <c r="E35" s="135">
        <v>3049</v>
      </c>
      <c r="F35" s="198">
        <f t="shared" si="0"/>
        <v>-222</v>
      </c>
      <c r="G35" s="198">
        <f t="shared" si="1"/>
        <v>93.213084683583</v>
      </c>
      <c r="I35" s="121"/>
      <c r="K35" s="127"/>
      <c r="L35" s="127"/>
      <c r="M35" s="127"/>
      <c r="Z35" s="68">
        <v>3049</v>
      </c>
    </row>
    <row r="36" spans="1:26" ht="15.75">
      <c r="A36" s="1" t="s">
        <v>21</v>
      </c>
      <c r="B36" s="124">
        <v>1039</v>
      </c>
      <c r="C36" s="78">
        <v>589</v>
      </c>
      <c r="D36" s="75">
        <v>719.62</v>
      </c>
      <c r="E36" s="135">
        <v>670</v>
      </c>
      <c r="F36" s="198">
        <f t="shared" si="0"/>
        <v>-49.620000000000005</v>
      </c>
      <c r="G36" s="198">
        <f t="shared" si="1"/>
        <v>93.10469414413163</v>
      </c>
      <c r="I36" s="121"/>
      <c r="K36" s="127"/>
      <c r="L36" s="127"/>
      <c r="M36" s="127"/>
      <c r="Z36" s="68">
        <v>670</v>
      </c>
    </row>
    <row r="37" spans="1:26" ht="45">
      <c r="A37" s="1" t="s">
        <v>152</v>
      </c>
      <c r="B37" s="124">
        <v>1040</v>
      </c>
      <c r="C37" s="78">
        <v>18</v>
      </c>
      <c r="D37" s="75">
        <v>20</v>
      </c>
      <c r="E37" s="135">
        <v>14</v>
      </c>
      <c r="F37" s="198">
        <f t="shared" si="0"/>
        <v>-6</v>
      </c>
      <c r="G37" s="198">
        <f t="shared" si="1"/>
        <v>70</v>
      </c>
      <c r="I37" s="121"/>
      <c r="K37" s="127"/>
      <c r="L37" s="127"/>
      <c r="M37" s="127"/>
      <c r="Z37" s="68">
        <v>14</v>
      </c>
    </row>
    <row r="38" spans="1:13" ht="45">
      <c r="A38" s="1" t="s">
        <v>241</v>
      </c>
      <c r="B38" s="157">
        <v>1041</v>
      </c>
      <c r="C38" s="78"/>
      <c r="D38" s="75"/>
      <c r="E38" s="135"/>
      <c r="F38" s="198"/>
      <c r="G38" s="198"/>
      <c r="I38" s="121"/>
      <c r="K38" s="127"/>
      <c r="L38" s="127"/>
      <c r="M38" s="127"/>
    </row>
    <row r="39" spans="1:13" ht="30">
      <c r="A39" s="1" t="s">
        <v>242</v>
      </c>
      <c r="B39" s="157">
        <v>1042</v>
      </c>
      <c r="C39" s="78"/>
      <c r="D39" s="75"/>
      <c r="E39" s="135"/>
      <c r="F39" s="198"/>
      <c r="G39" s="198"/>
      <c r="I39" s="121"/>
      <c r="K39" s="127"/>
      <c r="L39" s="127"/>
      <c r="M39" s="127"/>
    </row>
    <row r="40" spans="1:13" ht="30">
      <c r="A40" s="1" t="s">
        <v>243</v>
      </c>
      <c r="B40" s="157">
        <v>1043</v>
      </c>
      <c r="C40" s="78"/>
      <c r="D40" s="75"/>
      <c r="E40" s="135"/>
      <c r="F40" s="198"/>
      <c r="G40" s="198"/>
      <c r="I40" s="121"/>
      <c r="K40" s="127"/>
      <c r="L40" s="127"/>
      <c r="M40" s="127"/>
    </row>
    <row r="41" spans="1:13" ht="15.75">
      <c r="A41" s="1" t="s">
        <v>244</v>
      </c>
      <c r="B41" s="157">
        <v>1044</v>
      </c>
      <c r="C41" s="78"/>
      <c r="D41" s="75"/>
      <c r="E41" s="135"/>
      <c r="F41" s="198"/>
      <c r="G41" s="198"/>
      <c r="I41" s="121"/>
      <c r="K41" s="127"/>
      <c r="L41" s="127"/>
      <c r="M41" s="127"/>
    </row>
    <row r="42" spans="1:26" ht="30">
      <c r="A42" s="1" t="s">
        <v>184</v>
      </c>
      <c r="B42" s="157">
        <v>1045</v>
      </c>
      <c r="C42" s="78">
        <v>92</v>
      </c>
      <c r="D42" s="75">
        <v>12</v>
      </c>
      <c r="E42" s="135">
        <v>82</v>
      </c>
      <c r="F42" s="198">
        <f t="shared" si="0"/>
        <v>70</v>
      </c>
      <c r="G42" s="198"/>
      <c r="I42" s="121"/>
      <c r="K42" s="127"/>
      <c r="L42" s="127"/>
      <c r="M42" s="127"/>
      <c r="Z42" s="68">
        <v>83</v>
      </c>
    </row>
    <row r="43" spans="1:13" ht="15.75">
      <c r="A43" s="1" t="s">
        <v>245</v>
      </c>
      <c r="B43" s="157">
        <v>1046</v>
      </c>
      <c r="C43" s="78"/>
      <c r="D43" s="75"/>
      <c r="E43" s="135"/>
      <c r="F43" s="198"/>
      <c r="G43" s="198"/>
      <c r="I43" s="121"/>
      <c r="K43" s="127"/>
      <c r="L43" s="127"/>
      <c r="M43" s="127"/>
    </row>
    <row r="44" spans="1:13" ht="15.75">
      <c r="A44" s="1" t="s">
        <v>246</v>
      </c>
      <c r="B44" s="157">
        <v>1047</v>
      </c>
      <c r="C44" s="78"/>
      <c r="D44" s="75"/>
      <c r="E44" s="135"/>
      <c r="F44" s="198"/>
      <c r="G44" s="198"/>
      <c r="I44" s="121"/>
      <c r="K44" s="127"/>
      <c r="L44" s="127"/>
      <c r="M44" s="127"/>
    </row>
    <row r="45" spans="1:13" ht="30">
      <c r="A45" s="1" t="s">
        <v>247</v>
      </c>
      <c r="B45" s="157">
        <v>1048</v>
      </c>
      <c r="C45" s="78"/>
      <c r="D45" s="75"/>
      <c r="E45" s="135"/>
      <c r="F45" s="198"/>
      <c r="G45" s="198"/>
      <c r="I45" s="121"/>
      <c r="K45" s="127"/>
      <c r="L45" s="127"/>
      <c r="M45" s="127"/>
    </row>
    <row r="46" spans="1:26" ht="45">
      <c r="A46" s="1" t="s">
        <v>248</v>
      </c>
      <c r="B46" s="157">
        <v>1049</v>
      </c>
      <c r="C46" s="78">
        <v>11</v>
      </c>
      <c r="D46" s="75">
        <v>28</v>
      </c>
      <c r="E46" s="135">
        <v>21</v>
      </c>
      <c r="F46" s="198">
        <f t="shared" si="0"/>
        <v>-7</v>
      </c>
      <c r="G46" s="198">
        <f t="shared" si="1"/>
        <v>75</v>
      </c>
      <c r="I46" s="121"/>
      <c r="K46" s="127"/>
      <c r="L46" s="127"/>
      <c r="M46" s="127"/>
      <c r="Z46" s="68">
        <v>21</v>
      </c>
    </row>
    <row r="47" spans="1:13" ht="60">
      <c r="A47" s="1" t="s">
        <v>211</v>
      </c>
      <c r="B47" s="124">
        <v>1050</v>
      </c>
      <c r="C47" s="78"/>
      <c r="D47" s="75"/>
      <c r="E47" s="135"/>
      <c r="F47" s="198"/>
      <c r="G47" s="198"/>
      <c r="I47" s="121"/>
      <c r="K47" s="127"/>
      <c r="L47" s="127"/>
      <c r="M47" s="127"/>
    </row>
    <row r="48" spans="1:13" ht="15.75">
      <c r="A48" s="1" t="s">
        <v>22</v>
      </c>
      <c r="B48" s="44" t="s">
        <v>23</v>
      </c>
      <c r="C48" s="78"/>
      <c r="D48" s="75"/>
      <c r="E48" s="135"/>
      <c r="F48" s="198"/>
      <c r="G48" s="198"/>
      <c r="I48" s="121"/>
      <c r="K48" s="127"/>
      <c r="L48" s="127"/>
      <c r="M48" s="127"/>
    </row>
    <row r="49" spans="1:13" ht="30">
      <c r="A49" s="1" t="s">
        <v>24</v>
      </c>
      <c r="B49" s="44">
        <v>1051</v>
      </c>
      <c r="C49" s="81"/>
      <c r="D49" s="158"/>
      <c r="E49" s="142"/>
      <c r="F49" s="198"/>
      <c r="G49" s="198"/>
      <c r="I49" s="121"/>
      <c r="K49" s="127"/>
      <c r="L49" s="127"/>
      <c r="M49" s="127"/>
    </row>
    <row r="50" spans="1:26" ht="15.75">
      <c r="A50" s="1" t="s">
        <v>209</v>
      </c>
      <c r="B50" s="44" t="s">
        <v>249</v>
      </c>
      <c r="C50" s="79">
        <v>48</v>
      </c>
      <c r="D50" s="75">
        <v>66</v>
      </c>
      <c r="E50" s="144">
        <v>69</v>
      </c>
      <c r="F50" s="198">
        <f t="shared" si="0"/>
        <v>3</v>
      </c>
      <c r="G50" s="198">
        <f t="shared" si="1"/>
        <v>104.54545454545455</v>
      </c>
      <c r="I50" s="121"/>
      <c r="K50" s="127"/>
      <c r="L50" s="127"/>
      <c r="M50" s="127"/>
      <c r="Z50" s="68">
        <v>69</v>
      </c>
    </row>
    <row r="51" spans="1:26" ht="15.75">
      <c r="A51" s="1" t="s">
        <v>165</v>
      </c>
      <c r="B51" s="44" t="s">
        <v>250</v>
      </c>
      <c r="C51" s="79">
        <v>26</v>
      </c>
      <c r="D51" s="75">
        <v>32</v>
      </c>
      <c r="E51" s="144">
        <v>32</v>
      </c>
      <c r="F51" s="198">
        <f t="shared" si="0"/>
        <v>0</v>
      </c>
      <c r="G51" s="198">
        <f t="shared" si="1"/>
        <v>100</v>
      </c>
      <c r="I51" s="121"/>
      <c r="K51" s="127"/>
      <c r="L51" s="127"/>
      <c r="M51" s="127"/>
      <c r="Z51" s="68">
        <v>32</v>
      </c>
    </row>
    <row r="52" spans="1:26" ht="15.75">
      <c r="A52" s="1" t="s">
        <v>212</v>
      </c>
      <c r="B52" s="44" t="s">
        <v>251</v>
      </c>
      <c r="C52" s="79">
        <v>3</v>
      </c>
      <c r="D52" s="75">
        <v>5</v>
      </c>
      <c r="E52" s="144">
        <v>3</v>
      </c>
      <c r="F52" s="198">
        <f t="shared" si="0"/>
        <v>-2</v>
      </c>
      <c r="G52" s="198">
        <f t="shared" si="1"/>
        <v>60</v>
      </c>
      <c r="I52" s="121"/>
      <c r="K52" s="127"/>
      <c r="L52" s="127"/>
      <c r="M52" s="127"/>
      <c r="Z52" s="68">
        <v>3</v>
      </c>
    </row>
    <row r="53" spans="1:26" ht="15.75">
      <c r="A53" s="1" t="s">
        <v>166</v>
      </c>
      <c r="B53" s="44" t="s">
        <v>252</v>
      </c>
      <c r="C53" s="79">
        <v>14</v>
      </c>
      <c r="D53" s="75">
        <v>10</v>
      </c>
      <c r="E53" s="144">
        <v>12</v>
      </c>
      <c r="F53" s="198">
        <f t="shared" si="0"/>
        <v>2</v>
      </c>
      <c r="G53" s="198">
        <f t="shared" si="1"/>
        <v>120</v>
      </c>
      <c r="I53" s="121"/>
      <c r="K53" s="127"/>
      <c r="L53" s="127"/>
      <c r="M53" s="127"/>
      <c r="Z53" s="68">
        <v>12</v>
      </c>
    </row>
    <row r="54" spans="1:26" ht="15.75">
      <c r="A54" s="1" t="s">
        <v>210</v>
      </c>
      <c r="B54" s="44" t="s">
        <v>253</v>
      </c>
      <c r="C54" s="79">
        <v>15</v>
      </c>
      <c r="D54" s="75">
        <v>12</v>
      </c>
      <c r="E54" s="144">
        <v>4</v>
      </c>
      <c r="F54" s="198">
        <f t="shared" si="0"/>
        <v>-8</v>
      </c>
      <c r="G54" s="198">
        <f t="shared" si="1"/>
        <v>33.33333333333333</v>
      </c>
      <c r="I54" s="121"/>
      <c r="K54" s="127"/>
      <c r="L54" s="127"/>
      <c r="M54" s="127"/>
      <c r="Z54" s="68">
        <v>4</v>
      </c>
    </row>
    <row r="55" spans="1:26" ht="15.75">
      <c r="A55" s="1" t="s">
        <v>207</v>
      </c>
      <c r="B55" s="44" t="s">
        <v>254</v>
      </c>
      <c r="C55" s="79">
        <v>39</v>
      </c>
      <c r="D55" s="75">
        <v>45</v>
      </c>
      <c r="E55" s="144">
        <v>22</v>
      </c>
      <c r="F55" s="198">
        <f t="shared" si="0"/>
        <v>-23</v>
      </c>
      <c r="G55" s="198">
        <f t="shared" si="1"/>
        <v>48.888888888888886</v>
      </c>
      <c r="I55" s="121"/>
      <c r="K55" s="127"/>
      <c r="L55" s="127"/>
      <c r="M55" s="127"/>
      <c r="Z55" s="68">
        <v>22</v>
      </c>
    </row>
    <row r="56" spans="1:26" ht="15.75">
      <c r="A56" s="1" t="s">
        <v>167</v>
      </c>
      <c r="B56" s="44" t="s">
        <v>255</v>
      </c>
      <c r="C56" s="79">
        <v>61</v>
      </c>
      <c r="D56" s="75">
        <v>36</v>
      </c>
      <c r="E56" s="144">
        <v>79</v>
      </c>
      <c r="F56" s="198">
        <f t="shared" si="0"/>
        <v>43</v>
      </c>
      <c r="G56" s="198">
        <f t="shared" si="1"/>
        <v>219.44444444444446</v>
      </c>
      <c r="I56" s="121"/>
      <c r="K56" s="127"/>
      <c r="L56" s="127"/>
      <c r="M56" s="127"/>
      <c r="Z56" s="68">
        <v>80</v>
      </c>
    </row>
    <row r="57" spans="1:26" ht="15.75">
      <c r="A57" s="1" t="s">
        <v>216</v>
      </c>
      <c r="B57" s="44" t="s">
        <v>256</v>
      </c>
      <c r="C57" s="79">
        <v>71</v>
      </c>
      <c r="D57" s="75"/>
      <c r="E57" s="144">
        <v>64</v>
      </c>
      <c r="F57" s="198">
        <f t="shared" si="0"/>
        <v>64</v>
      </c>
      <c r="G57" s="198"/>
      <c r="I57" s="121"/>
      <c r="K57" s="127"/>
      <c r="L57" s="127"/>
      <c r="M57" s="127"/>
      <c r="Z57" s="68">
        <v>64</v>
      </c>
    </row>
    <row r="58" spans="1:26" ht="15.75">
      <c r="A58" s="1" t="s">
        <v>217</v>
      </c>
      <c r="B58" s="44" t="s">
        <v>257</v>
      </c>
      <c r="C58" s="79">
        <v>40</v>
      </c>
      <c r="D58" s="75"/>
      <c r="E58" s="144">
        <v>60</v>
      </c>
      <c r="F58" s="198">
        <f t="shared" si="0"/>
        <v>60</v>
      </c>
      <c r="G58" s="198"/>
      <c r="I58" s="121"/>
      <c r="K58" s="127"/>
      <c r="L58" s="127"/>
      <c r="M58" s="127"/>
      <c r="Z58" s="68">
        <v>60</v>
      </c>
    </row>
    <row r="59" spans="1:26" ht="30">
      <c r="A59" s="1" t="s">
        <v>304</v>
      </c>
      <c r="B59" s="44" t="s">
        <v>295</v>
      </c>
      <c r="C59" s="79"/>
      <c r="D59" s="75"/>
      <c r="E59" s="144">
        <v>40</v>
      </c>
      <c r="F59" s="198">
        <f t="shared" si="0"/>
        <v>40</v>
      </c>
      <c r="G59" s="198"/>
      <c r="I59" s="121"/>
      <c r="K59" s="127"/>
      <c r="L59" s="127"/>
      <c r="M59" s="127"/>
      <c r="Z59" s="68">
        <v>40</v>
      </c>
    </row>
    <row r="60" spans="1:13" ht="15.75">
      <c r="A60" s="159" t="s">
        <v>25</v>
      </c>
      <c r="B60" s="180">
        <v>1060</v>
      </c>
      <c r="C60" s="176"/>
      <c r="D60" s="195"/>
      <c r="E60" s="195"/>
      <c r="F60" s="171"/>
      <c r="G60" s="171"/>
      <c r="I60" s="121"/>
      <c r="K60" s="127"/>
      <c r="L60" s="127"/>
      <c r="M60" s="127"/>
    </row>
    <row r="61" spans="1:13" ht="15.75">
      <c r="A61" s="1" t="s">
        <v>26</v>
      </c>
      <c r="B61" s="124">
        <v>1061</v>
      </c>
      <c r="C61" s="79"/>
      <c r="D61" s="77"/>
      <c r="E61" s="77"/>
      <c r="F61" s="198"/>
      <c r="G61" s="198"/>
      <c r="I61" s="121"/>
      <c r="K61" s="127"/>
      <c r="L61" s="127"/>
      <c r="M61" s="127"/>
    </row>
    <row r="62" spans="1:13" ht="15.75">
      <c r="A62" s="1" t="s">
        <v>27</v>
      </c>
      <c r="B62" s="124">
        <v>1062</v>
      </c>
      <c r="C62" s="79"/>
      <c r="D62" s="77"/>
      <c r="E62" s="77"/>
      <c r="F62" s="198"/>
      <c r="G62" s="198"/>
      <c r="I62" s="121"/>
      <c r="K62" s="127"/>
      <c r="L62" s="127"/>
      <c r="M62" s="127"/>
    </row>
    <row r="63" spans="1:13" ht="15.75">
      <c r="A63" s="1" t="s">
        <v>20</v>
      </c>
      <c r="B63" s="124">
        <v>1063</v>
      </c>
      <c r="C63" s="79"/>
      <c r="D63" s="77"/>
      <c r="E63" s="77"/>
      <c r="F63" s="198"/>
      <c r="G63" s="198"/>
      <c r="I63" s="121"/>
      <c r="K63" s="127"/>
      <c r="L63" s="127"/>
      <c r="M63" s="127"/>
    </row>
    <row r="64" spans="1:13" ht="15.75">
      <c r="A64" s="1" t="s">
        <v>21</v>
      </c>
      <c r="B64" s="124">
        <v>1064</v>
      </c>
      <c r="C64" s="79"/>
      <c r="D64" s="77"/>
      <c r="E64" s="77"/>
      <c r="F64" s="198"/>
      <c r="G64" s="198"/>
      <c r="I64" s="121"/>
      <c r="K64" s="127"/>
      <c r="L64" s="127"/>
      <c r="M64" s="127"/>
    </row>
    <row r="65" spans="1:13" ht="30">
      <c r="A65" s="1" t="s">
        <v>28</v>
      </c>
      <c r="B65" s="124">
        <v>1065</v>
      </c>
      <c r="C65" s="79"/>
      <c r="D65" s="77"/>
      <c r="E65" s="77"/>
      <c r="F65" s="198"/>
      <c r="G65" s="198"/>
      <c r="I65" s="121"/>
      <c r="K65" s="127"/>
      <c r="L65" s="127"/>
      <c r="M65" s="127"/>
    </row>
    <row r="66" spans="1:13" ht="15.75">
      <c r="A66" s="1" t="s">
        <v>29</v>
      </c>
      <c r="B66" s="124">
        <v>1066</v>
      </c>
      <c r="C66" s="79"/>
      <c r="D66" s="77"/>
      <c r="E66" s="77"/>
      <c r="F66" s="198"/>
      <c r="G66" s="198"/>
      <c r="I66" s="121"/>
      <c r="K66" s="127"/>
      <c r="L66" s="127"/>
      <c r="M66" s="127"/>
    </row>
    <row r="67" spans="1:13" ht="15.75">
      <c r="A67" s="54" t="s">
        <v>30</v>
      </c>
      <c r="B67" s="113">
        <v>1067</v>
      </c>
      <c r="C67" s="78"/>
      <c r="D67" s="75"/>
      <c r="E67" s="75"/>
      <c r="F67" s="198"/>
      <c r="G67" s="198"/>
      <c r="I67" s="121"/>
      <c r="K67" s="127"/>
      <c r="L67" s="127"/>
      <c r="M67" s="127"/>
    </row>
    <row r="68" spans="1:26" ht="28.5">
      <c r="A68" s="57" t="s">
        <v>150</v>
      </c>
      <c r="B68" s="114">
        <v>1070</v>
      </c>
      <c r="C68" s="171">
        <f>SUM(C69:C75)</f>
        <v>2203</v>
      </c>
      <c r="D68" s="173">
        <f>SUM(D69:D75)</f>
        <v>3988</v>
      </c>
      <c r="E68" s="173">
        <f>SUM(E69:E75)</f>
        <v>5684</v>
      </c>
      <c r="F68" s="171">
        <f t="shared" si="0"/>
        <v>1696</v>
      </c>
      <c r="G68" s="171">
        <f t="shared" si="1"/>
        <v>142.52758274824473</v>
      </c>
      <c r="I68" s="121"/>
      <c r="K68" s="127"/>
      <c r="L68" s="127"/>
      <c r="M68" s="127"/>
      <c r="W68" s="68">
        <v>5684</v>
      </c>
      <c r="X68" s="72">
        <f>E68-W68</f>
        <v>0</v>
      </c>
      <c r="Z68" s="68">
        <v>0</v>
      </c>
    </row>
    <row r="69" spans="1:13" ht="15.75">
      <c r="A69" s="54" t="s">
        <v>200</v>
      </c>
      <c r="B69" s="115" t="s">
        <v>174</v>
      </c>
      <c r="C69" s="86">
        <v>1194</v>
      </c>
      <c r="D69" s="79">
        <v>1351</v>
      </c>
      <c r="E69" s="148">
        <v>2773</v>
      </c>
      <c r="F69" s="198">
        <f t="shared" si="0"/>
        <v>1422</v>
      </c>
      <c r="G69" s="198">
        <f t="shared" si="1"/>
        <v>205.25536639526277</v>
      </c>
      <c r="I69" s="121"/>
      <c r="K69" s="127"/>
      <c r="L69" s="127"/>
      <c r="M69" s="127"/>
    </row>
    <row r="70" spans="1:13" ht="15.75">
      <c r="A70" s="54" t="s">
        <v>59</v>
      </c>
      <c r="B70" s="115" t="s">
        <v>175</v>
      </c>
      <c r="C70" s="86">
        <v>817</v>
      </c>
      <c r="D70" s="79">
        <v>678</v>
      </c>
      <c r="E70" s="148">
        <v>763</v>
      </c>
      <c r="F70" s="198">
        <f t="shared" si="0"/>
        <v>85</v>
      </c>
      <c r="G70" s="198">
        <f t="shared" si="1"/>
        <v>112.53687315634218</v>
      </c>
      <c r="H70" s="156"/>
      <c r="I70" s="121"/>
      <c r="K70" s="127"/>
      <c r="L70" s="127"/>
      <c r="M70" s="127"/>
    </row>
    <row r="71" spans="1:13" ht="15.75">
      <c r="A71" s="54" t="s">
        <v>168</v>
      </c>
      <c r="B71" s="115" t="s">
        <v>176</v>
      </c>
      <c r="C71" s="86">
        <v>11</v>
      </c>
      <c r="D71" s="80"/>
      <c r="E71" s="80"/>
      <c r="F71" s="198"/>
      <c r="G71" s="198"/>
      <c r="I71" s="121"/>
      <c r="K71" s="127"/>
      <c r="L71" s="127"/>
      <c r="M71" s="127"/>
    </row>
    <row r="72" spans="1:25" ht="15.75">
      <c r="A72" s="54" t="s">
        <v>239</v>
      </c>
      <c r="B72" s="44" t="s">
        <v>177</v>
      </c>
      <c r="C72" s="86">
        <v>80</v>
      </c>
      <c r="D72" s="79">
        <v>656</v>
      </c>
      <c r="E72" s="142">
        <v>682</v>
      </c>
      <c r="F72" s="198">
        <f t="shared" si="0"/>
        <v>26</v>
      </c>
      <c r="G72" s="198">
        <f t="shared" si="1"/>
        <v>103.96341463414633</v>
      </c>
      <c r="I72" s="121"/>
      <c r="K72" s="127"/>
      <c r="L72" s="127"/>
      <c r="M72" s="127"/>
      <c r="Y72" s="72">
        <f>E72-416</f>
        <v>266</v>
      </c>
    </row>
    <row r="73" spans="1:13" ht="15.75">
      <c r="A73" s="54" t="s">
        <v>169</v>
      </c>
      <c r="B73" s="44" t="s">
        <v>171</v>
      </c>
      <c r="C73" s="86">
        <v>33</v>
      </c>
      <c r="D73" s="79">
        <v>32</v>
      </c>
      <c r="E73" s="148">
        <v>36</v>
      </c>
      <c r="F73" s="198">
        <f t="shared" si="0"/>
        <v>4</v>
      </c>
      <c r="G73" s="198">
        <f t="shared" si="1"/>
        <v>112.5</v>
      </c>
      <c r="I73" s="121"/>
      <c r="K73" s="127"/>
      <c r="L73" s="127"/>
      <c r="M73" s="127"/>
    </row>
    <row r="74" spans="1:13" ht="15.75">
      <c r="A74" s="54" t="s">
        <v>170</v>
      </c>
      <c r="B74" s="44" t="s">
        <v>178</v>
      </c>
      <c r="C74" s="74"/>
      <c r="D74" s="79"/>
      <c r="E74" s="80"/>
      <c r="F74" s="198"/>
      <c r="G74" s="198"/>
      <c r="I74" s="121"/>
      <c r="K74" s="127"/>
      <c r="L74" s="127"/>
      <c r="M74" s="127"/>
    </row>
    <row r="75" spans="1:13" ht="15.75">
      <c r="A75" s="54" t="s">
        <v>218</v>
      </c>
      <c r="B75" s="44" t="s">
        <v>240</v>
      </c>
      <c r="C75" s="74">
        <v>68</v>
      </c>
      <c r="D75" s="79">
        <v>1271</v>
      </c>
      <c r="E75" s="144">
        <f>298+1132</f>
        <v>1430</v>
      </c>
      <c r="F75" s="198">
        <f t="shared" si="0"/>
        <v>159</v>
      </c>
      <c r="G75" s="198">
        <f t="shared" si="1"/>
        <v>112.5098347757671</v>
      </c>
      <c r="I75" s="121"/>
      <c r="K75" s="127"/>
      <c r="L75" s="127"/>
      <c r="M75" s="127"/>
    </row>
    <row r="76" spans="1:26" s="60" customFormat="1" ht="28.5">
      <c r="A76" s="174" t="s">
        <v>208</v>
      </c>
      <c r="B76" s="114">
        <v>1080</v>
      </c>
      <c r="C76" s="173">
        <f>C77+C78+C79+C81+C82+C80</f>
        <v>1417</v>
      </c>
      <c r="D76" s="173">
        <f>D77+D78+D79+D81+D82+D80</f>
        <v>2913</v>
      </c>
      <c r="E76" s="173">
        <f>SUM(E77:E82)</f>
        <v>4783</v>
      </c>
      <c r="F76" s="171">
        <f aca="true" t="shared" si="2" ref="F76:F100">E76-D76</f>
        <v>1870</v>
      </c>
      <c r="G76" s="171">
        <f aca="true" t="shared" si="3" ref="G76:G100">E76/D76*100</f>
        <v>164.19498798489528</v>
      </c>
      <c r="I76" s="122"/>
      <c r="K76" s="129"/>
      <c r="L76" s="129"/>
      <c r="M76" s="129"/>
      <c r="W76" s="60">
        <v>4783</v>
      </c>
      <c r="X76" s="139">
        <f>E76-W76</f>
        <v>0</v>
      </c>
      <c r="Z76" s="60">
        <v>0</v>
      </c>
    </row>
    <row r="77" spans="1:13" ht="15.75">
      <c r="A77" s="1" t="s">
        <v>199</v>
      </c>
      <c r="B77" s="21" t="s">
        <v>189</v>
      </c>
      <c r="C77" s="79">
        <v>1206</v>
      </c>
      <c r="D77" s="79">
        <v>1351</v>
      </c>
      <c r="E77" s="148">
        <v>2786</v>
      </c>
      <c r="F77" s="198">
        <f t="shared" si="2"/>
        <v>1435</v>
      </c>
      <c r="G77" s="198">
        <f t="shared" si="3"/>
        <v>206.2176165803109</v>
      </c>
      <c r="I77" s="121"/>
      <c r="K77" s="127"/>
      <c r="L77" s="127"/>
      <c r="M77" s="127"/>
    </row>
    <row r="78" spans="1:13" ht="15.75">
      <c r="A78" s="1" t="s">
        <v>163</v>
      </c>
      <c r="B78" s="21" t="s">
        <v>190</v>
      </c>
      <c r="C78" s="79">
        <v>98</v>
      </c>
      <c r="D78" s="81">
        <v>279</v>
      </c>
      <c r="E78" s="149">
        <v>267</v>
      </c>
      <c r="F78" s="198">
        <f t="shared" si="2"/>
        <v>-12</v>
      </c>
      <c r="G78" s="198">
        <f t="shared" si="3"/>
        <v>95.6989247311828</v>
      </c>
      <c r="I78" s="121"/>
      <c r="K78" s="127"/>
      <c r="L78" s="127"/>
      <c r="M78" s="127"/>
    </row>
    <row r="79" spans="1:13" ht="15.75">
      <c r="A79" s="1" t="s">
        <v>219</v>
      </c>
      <c r="B79" s="21" t="s">
        <v>191</v>
      </c>
      <c r="C79" s="79">
        <v>11</v>
      </c>
      <c r="D79" s="81"/>
      <c r="E79" s="141"/>
      <c r="F79" s="198"/>
      <c r="G79" s="198"/>
      <c r="I79" s="121"/>
      <c r="K79" s="127"/>
      <c r="L79" s="127"/>
      <c r="M79" s="127"/>
    </row>
    <row r="80" spans="1:25" ht="15.75" customHeight="1">
      <c r="A80" s="1" t="s">
        <v>220</v>
      </c>
      <c r="B80" s="21" t="s">
        <v>192</v>
      </c>
      <c r="C80" s="79">
        <v>68</v>
      </c>
      <c r="D80" s="81">
        <v>1271</v>
      </c>
      <c r="E80" s="149">
        <f>1475</f>
        <v>1475</v>
      </c>
      <c r="F80" s="198">
        <f t="shared" si="2"/>
        <v>204</v>
      </c>
      <c r="G80" s="198">
        <f t="shared" si="3"/>
        <v>116.05035405192761</v>
      </c>
      <c r="I80" s="121"/>
      <c r="K80" s="127"/>
      <c r="L80" s="127"/>
      <c r="M80" s="127"/>
      <c r="Y80" s="1"/>
    </row>
    <row r="81" spans="1:25" ht="30">
      <c r="A81" s="1" t="s">
        <v>205</v>
      </c>
      <c r="B81" s="21" t="s">
        <v>193</v>
      </c>
      <c r="C81" s="79">
        <v>24</v>
      </c>
      <c r="D81" s="81"/>
      <c r="E81" s="85">
        <f>189+2</f>
        <v>191</v>
      </c>
      <c r="F81" s="198">
        <f t="shared" si="2"/>
        <v>191</v>
      </c>
      <c r="G81" s="198"/>
      <c r="H81" s="60"/>
      <c r="I81" s="121"/>
      <c r="K81" s="127"/>
      <c r="L81" s="127"/>
      <c r="M81" s="127"/>
      <c r="X81" s="68">
        <v>189</v>
      </c>
      <c r="Y81" s="1" t="s">
        <v>297</v>
      </c>
    </row>
    <row r="82" spans="1:13" ht="15.75">
      <c r="A82" s="1" t="s">
        <v>206</v>
      </c>
      <c r="B82" s="21" t="s">
        <v>222</v>
      </c>
      <c r="C82" s="79">
        <v>10</v>
      </c>
      <c r="D82" s="81">
        <v>12</v>
      </c>
      <c r="E82" s="81">
        <v>64</v>
      </c>
      <c r="F82" s="198">
        <f t="shared" si="2"/>
        <v>52</v>
      </c>
      <c r="G82" s="198"/>
      <c r="I82" s="121"/>
      <c r="K82" s="127"/>
      <c r="L82" s="127"/>
      <c r="M82" s="127"/>
    </row>
    <row r="83" spans="1:24" ht="15.75">
      <c r="A83" s="159" t="s">
        <v>164</v>
      </c>
      <c r="B83" s="175">
        <v>1090</v>
      </c>
      <c r="C83" s="176">
        <v>298</v>
      </c>
      <c r="D83" s="176">
        <v>271</v>
      </c>
      <c r="E83" s="176">
        <f>(E93-E94)*0.15</f>
        <v>172.446</v>
      </c>
      <c r="F83" s="171">
        <f t="shared" si="2"/>
        <v>-98.554</v>
      </c>
      <c r="G83" s="171">
        <f t="shared" si="3"/>
        <v>63.63321033210332</v>
      </c>
      <c r="I83" s="121"/>
      <c r="K83" s="127"/>
      <c r="L83" s="127"/>
      <c r="M83" s="127"/>
      <c r="W83" s="68">
        <v>172</v>
      </c>
      <c r="X83" s="72">
        <f>E83-W83</f>
        <v>0.44599999999999795</v>
      </c>
    </row>
    <row r="84" spans="1:26" s="60" customFormat="1" ht="28.5">
      <c r="A84" s="57" t="s">
        <v>31</v>
      </c>
      <c r="B84" s="114">
        <v>1100</v>
      </c>
      <c r="C84" s="177">
        <f>C11-C12-C27+C68-C76</f>
        <v>2221</v>
      </c>
      <c r="D84" s="177">
        <f>D11-D12-D27+D68-D76</f>
        <v>2022.6000000000013</v>
      </c>
      <c r="E84" s="177">
        <f>E11-E12-E27+E68-E76</f>
        <v>1556</v>
      </c>
      <c r="F84" s="171">
        <f t="shared" si="2"/>
        <v>-466.6000000000013</v>
      </c>
      <c r="G84" s="171">
        <f t="shared" si="3"/>
        <v>76.93068327894784</v>
      </c>
      <c r="I84" s="122"/>
      <c r="K84" s="129"/>
      <c r="L84" s="129"/>
      <c r="M84" s="129"/>
      <c r="W84" s="60">
        <v>1556</v>
      </c>
      <c r="X84" s="72">
        <f>E84-W84</f>
        <v>0</v>
      </c>
      <c r="Z84" s="60">
        <v>-3222</v>
      </c>
    </row>
    <row r="85" spans="1:13" ht="30">
      <c r="A85" s="1" t="s">
        <v>32</v>
      </c>
      <c r="B85" s="124">
        <v>1110</v>
      </c>
      <c r="C85" s="79"/>
      <c r="D85" s="83"/>
      <c r="E85" s="136"/>
      <c r="F85" s="198"/>
      <c r="G85" s="198"/>
      <c r="I85" s="121"/>
      <c r="K85" s="127"/>
      <c r="L85" s="127"/>
      <c r="M85" s="127"/>
    </row>
    <row r="86" spans="1:13" ht="30">
      <c r="A86" s="1" t="s">
        <v>33</v>
      </c>
      <c r="B86" s="124">
        <v>1120</v>
      </c>
      <c r="C86" s="79"/>
      <c r="D86" s="83"/>
      <c r="E86" s="136"/>
      <c r="F86" s="198"/>
      <c r="G86" s="198"/>
      <c r="I86" s="121"/>
      <c r="K86" s="127"/>
      <c r="L86" s="127"/>
      <c r="M86" s="127"/>
    </row>
    <row r="87" spans="1:13" ht="7.5" customHeight="1" hidden="1">
      <c r="A87" s="1"/>
      <c r="B87" s="124"/>
      <c r="C87" s="79"/>
      <c r="D87" s="83"/>
      <c r="E87" s="136"/>
      <c r="F87" s="198"/>
      <c r="G87" s="198"/>
      <c r="I87" s="121"/>
      <c r="K87" s="127" t="s">
        <v>221</v>
      </c>
      <c r="L87" s="127" t="s">
        <v>222</v>
      </c>
      <c r="M87" s="127">
        <v>10</v>
      </c>
    </row>
    <row r="88" spans="1:13" ht="8.25" customHeight="1" hidden="1">
      <c r="A88" s="1"/>
      <c r="B88" s="124"/>
      <c r="C88" s="79"/>
      <c r="D88" s="83"/>
      <c r="E88" s="136"/>
      <c r="F88" s="198"/>
      <c r="G88" s="198"/>
      <c r="I88" s="121"/>
      <c r="K88" s="127" t="s">
        <v>164</v>
      </c>
      <c r="L88" s="127" t="s">
        <v>223</v>
      </c>
      <c r="M88" s="127">
        <v>298</v>
      </c>
    </row>
    <row r="89" spans="1:13" ht="15.75">
      <c r="A89" s="1" t="s">
        <v>34</v>
      </c>
      <c r="B89" s="124">
        <v>1130</v>
      </c>
      <c r="C89" s="79"/>
      <c r="D89" s="83"/>
      <c r="E89" s="136"/>
      <c r="F89" s="198"/>
      <c r="G89" s="198"/>
      <c r="I89" s="121"/>
      <c r="K89" s="127"/>
      <c r="L89" s="127"/>
      <c r="M89" s="127"/>
    </row>
    <row r="90" spans="1:13" ht="15.75">
      <c r="A90" s="1" t="s">
        <v>35</v>
      </c>
      <c r="B90" s="124">
        <v>1140</v>
      </c>
      <c r="C90" s="79"/>
      <c r="D90" s="83"/>
      <c r="E90" s="136"/>
      <c r="F90" s="198"/>
      <c r="G90" s="198"/>
      <c r="I90" s="121"/>
      <c r="K90" s="127"/>
      <c r="L90" s="127"/>
      <c r="M90" s="127"/>
    </row>
    <row r="91" spans="1:26" s="60" customFormat="1" ht="28.5">
      <c r="A91" s="57" t="s">
        <v>307</v>
      </c>
      <c r="B91" s="114">
        <v>1150</v>
      </c>
      <c r="C91" s="173">
        <v>2716</v>
      </c>
      <c r="D91" s="173">
        <f>2346+24</f>
        <v>2370</v>
      </c>
      <c r="E91" s="178">
        <v>3276</v>
      </c>
      <c r="F91" s="171">
        <f t="shared" si="2"/>
        <v>906</v>
      </c>
      <c r="G91" s="171">
        <f t="shared" si="3"/>
        <v>138.22784810126583</v>
      </c>
      <c r="I91" s="122"/>
      <c r="K91" s="129"/>
      <c r="L91" s="129"/>
      <c r="M91" s="129"/>
      <c r="W91" s="60">
        <v>3276</v>
      </c>
      <c r="X91" s="60">
        <f>E91-W91</f>
        <v>0</v>
      </c>
      <c r="Z91" s="60">
        <v>3276</v>
      </c>
    </row>
    <row r="92" spans="1:26" s="60" customFormat="1" ht="28.5">
      <c r="A92" s="57" t="s">
        <v>308</v>
      </c>
      <c r="B92" s="114">
        <v>1160</v>
      </c>
      <c r="C92" s="173">
        <v>2515</v>
      </c>
      <c r="D92" s="173">
        <v>2346</v>
      </c>
      <c r="E92" s="178">
        <v>3430</v>
      </c>
      <c r="F92" s="171">
        <f t="shared" si="2"/>
        <v>1084</v>
      </c>
      <c r="G92" s="171">
        <f t="shared" si="3"/>
        <v>146.2063086104007</v>
      </c>
      <c r="I92" s="122"/>
      <c r="K92" s="129"/>
      <c r="L92" s="129"/>
      <c r="M92" s="129"/>
      <c r="W92" s="60">
        <v>3430</v>
      </c>
      <c r="X92" s="60">
        <f aca="true" t="shared" si="4" ref="X92:X107">E92-W92</f>
        <v>0</v>
      </c>
      <c r="Z92" s="60">
        <v>3430</v>
      </c>
    </row>
    <row r="93" spans="1:26" s="60" customFormat="1" ht="28.5">
      <c r="A93" s="57" t="s">
        <v>36</v>
      </c>
      <c r="B93" s="114">
        <v>1170</v>
      </c>
      <c r="C93" s="173">
        <f>C99-C100</f>
        <v>2422</v>
      </c>
      <c r="D93" s="173">
        <f>D99-D100</f>
        <v>2046.6000000000058</v>
      </c>
      <c r="E93" s="173">
        <f>E99-E100</f>
        <v>1402</v>
      </c>
      <c r="F93" s="171">
        <f t="shared" si="2"/>
        <v>-644.6000000000058</v>
      </c>
      <c r="G93" s="171">
        <f t="shared" si="3"/>
        <v>68.5038600605881</v>
      </c>
      <c r="I93" s="122"/>
      <c r="K93" s="129"/>
      <c r="L93" s="129"/>
      <c r="M93" s="129"/>
      <c r="W93" s="60">
        <v>1402</v>
      </c>
      <c r="X93" s="60">
        <f t="shared" si="4"/>
        <v>0</v>
      </c>
      <c r="Z93" s="60">
        <v>-3376</v>
      </c>
    </row>
    <row r="94" spans="1:26" ht="15.75">
      <c r="A94" s="1" t="s">
        <v>37</v>
      </c>
      <c r="B94" s="21">
        <v>1180</v>
      </c>
      <c r="C94" s="81">
        <v>436</v>
      </c>
      <c r="D94" s="81">
        <v>397</v>
      </c>
      <c r="E94" s="81">
        <f>E93*0.18</f>
        <v>252.35999999999999</v>
      </c>
      <c r="F94" s="198">
        <f t="shared" si="2"/>
        <v>-144.64000000000001</v>
      </c>
      <c r="G94" s="198">
        <f t="shared" si="3"/>
        <v>63.566750629722925</v>
      </c>
      <c r="I94" s="121"/>
      <c r="K94" s="127"/>
      <c r="L94" s="127"/>
      <c r="M94" s="127"/>
      <c r="W94" s="68">
        <v>252</v>
      </c>
      <c r="X94" s="60">
        <f t="shared" si="4"/>
        <v>0.3599999999999852</v>
      </c>
      <c r="Z94" s="68">
        <v>-607.68</v>
      </c>
    </row>
    <row r="95" spans="1:24" ht="15.75">
      <c r="A95" s="1" t="s">
        <v>38</v>
      </c>
      <c r="B95" s="21">
        <v>1181</v>
      </c>
      <c r="C95" s="79"/>
      <c r="D95" s="79"/>
      <c r="E95" s="79"/>
      <c r="F95" s="198"/>
      <c r="G95" s="198"/>
      <c r="I95" s="121"/>
      <c r="K95" s="127"/>
      <c r="L95" s="127"/>
      <c r="M95" s="127"/>
      <c r="X95" s="60">
        <f t="shared" si="4"/>
        <v>0</v>
      </c>
    </row>
    <row r="96" spans="1:26" s="60" customFormat="1" ht="28.5">
      <c r="A96" s="4" t="s">
        <v>39</v>
      </c>
      <c r="B96" s="125">
        <v>1200</v>
      </c>
      <c r="C96" s="84">
        <f>C93-C94</f>
        <v>1986</v>
      </c>
      <c r="D96" s="84">
        <f>D93-D94</f>
        <v>1649.6000000000058</v>
      </c>
      <c r="E96" s="84">
        <f>E93-E94</f>
        <v>1149.64</v>
      </c>
      <c r="F96" s="198">
        <f t="shared" si="2"/>
        <v>-499.9600000000057</v>
      </c>
      <c r="G96" s="198">
        <f t="shared" si="3"/>
        <v>69.69204655674078</v>
      </c>
      <c r="I96" s="122"/>
      <c r="K96" s="129"/>
      <c r="L96" s="129"/>
      <c r="M96" s="129"/>
      <c r="W96" s="60">
        <v>1150</v>
      </c>
      <c r="X96" s="60">
        <f t="shared" si="4"/>
        <v>-0.35999999999989996</v>
      </c>
      <c r="Z96" s="60">
        <v>-2768.32</v>
      </c>
    </row>
    <row r="97" spans="1:26" ht="15.75">
      <c r="A97" s="1" t="s">
        <v>40</v>
      </c>
      <c r="B97" s="44">
        <v>1201</v>
      </c>
      <c r="C97" s="79">
        <v>1986</v>
      </c>
      <c r="D97" s="79">
        <f>D96</f>
        <v>1649.6000000000058</v>
      </c>
      <c r="E97" s="79">
        <f>E96</f>
        <v>1149.64</v>
      </c>
      <c r="F97" s="198">
        <f t="shared" si="2"/>
        <v>-499.9600000000057</v>
      </c>
      <c r="G97" s="198">
        <f t="shared" si="3"/>
        <v>69.69204655674078</v>
      </c>
      <c r="I97" s="121"/>
      <c r="K97" s="127"/>
      <c r="L97" s="127"/>
      <c r="M97" s="127"/>
      <c r="W97" s="68">
        <v>1150</v>
      </c>
      <c r="X97" s="60">
        <f t="shared" si="4"/>
        <v>-0.35999999999989996</v>
      </c>
      <c r="Z97" s="68">
        <v>-2768.32</v>
      </c>
    </row>
    <row r="98" spans="1:24" ht="15.75">
      <c r="A98" s="1" t="s">
        <v>41</v>
      </c>
      <c r="B98" s="44">
        <v>1202</v>
      </c>
      <c r="C98" s="79"/>
      <c r="D98" s="82"/>
      <c r="E98" s="82"/>
      <c r="F98" s="198"/>
      <c r="G98" s="198"/>
      <c r="I98" s="121"/>
      <c r="K98" s="127"/>
      <c r="L98" s="127"/>
      <c r="M98" s="127"/>
      <c r="X98" s="60">
        <f t="shared" si="4"/>
        <v>0</v>
      </c>
    </row>
    <row r="99" spans="1:28" s="60" customFormat="1" ht="15.75">
      <c r="A99" s="57" t="s">
        <v>42</v>
      </c>
      <c r="B99" s="114">
        <v>1210</v>
      </c>
      <c r="C99" s="173">
        <f>C91+C68+C11</f>
        <v>32064</v>
      </c>
      <c r="D99" s="173">
        <f>D91+D68+D11</f>
        <v>37370</v>
      </c>
      <c r="E99" s="173">
        <f>E91+E68+E11</f>
        <v>36106</v>
      </c>
      <c r="F99" s="171">
        <f t="shared" si="2"/>
        <v>-1264</v>
      </c>
      <c r="G99" s="171">
        <f t="shared" si="3"/>
        <v>96.61760770671661</v>
      </c>
      <c r="H99" s="139"/>
      <c r="I99" s="122"/>
      <c r="K99" s="129"/>
      <c r="L99" s="129"/>
      <c r="M99" s="129"/>
      <c r="W99" s="60">
        <f>W11+W68+W91</f>
        <v>36106</v>
      </c>
      <c r="X99" s="60">
        <f t="shared" si="4"/>
        <v>0</v>
      </c>
      <c r="Z99" s="60">
        <v>30422</v>
      </c>
      <c r="AB99" s="213"/>
    </row>
    <row r="100" spans="1:26" s="60" customFormat="1" ht="15.75">
      <c r="A100" s="57" t="s">
        <v>43</v>
      </c>
      <c r="B100" s="114">
        <v>1220</v>
      </c>
      <c r="C100" s="173">
        <f>C92+C76+C27+C12</f>
        <v>29642</v>
      </c>
      <c r="D100" s="173">
        <f>D92+D76+D27+D12</f>
        <v>35323.399999999994</v>
      </c>
      <c r="E100" s="173">
        <f>E92+E76+E27+E12</f>
        <v>34704</v>
      </c>
      <c r="F100" s="171">
        <f t="shared" si="2"/>
        <v>-619.3999999999942</v>
      </c>
      <c r="G100" s="171">
        <f t="shared" si="3"/>
        <v>98.24648816365357</v>
      </c>
      <c r="H100" s="165"/>
      <c r="I100" s="122"/>
      <c r="K100" s="129"/>
      <c r="L100" s="129"/>
      <c r="M100" s="129"/>
      <c r="W100" s="60">
        <f>W92+W76+W27+W12</f>
        <v>34704</v>
      </c>
      <c r="X100" s="60">
        <f t="shared" si="4"/>
        <v>0</v>
      </c>
      <c r="Z100" s="60">
        <v>33798</v>
      </c>
    </row>
    <row r="101" spans="1:24" ht="14.25" customHeight="1">
      <c r="A101" s="232" t="s">
        <v>138</v>
      </c>
      <c r="B101" s="232"/>
      <c r="C101" s="232"/>
      <c r="D101" s="232"/>
      <c r="E101" s="232"/>
      <c r="F101" s="232"/>
      <c r="G101" s="232"/>
      <c r="K101" s="127"/>
      <c r="L101" s="127"/>
      <c r="M101" s="127"/>
      <c r="X101" s="60">
        <f t="shared" si="4"/>
        <v>0</v>
      </c>
    </row>
    <row r="102" spans="1:26" s="60" customFormat="1" ht="15.75">
      <c r="A102" s="179" t="s">
        <v>151</v>
      </c>
      <c r="B102" s="114">
        <v>1300</v>
      </c>
      <c r="C102" s="168">
        <f>C103+C104</f>
        <v>5257</v>
      </c>
      <c r="D102" s="171">
        <f>D103+D104</f>
        <v>5522</v>
      </c>
      <c r="E102" s="171">
        <f>E103+E104</f>
        <v>7103</v>
      </c>
      <c r="F102" s="171">
        <f>E102-D102</f>
        <v>1581</v>
      </c>
      <c r="G102" s="171">
        <f>E102/D102*100</f>
        <v>128.63093082216588</v>
      </c>
      <c r="I102" s="122"/>
      <c r="K102" s="129"/>
      <c r="L102" s="129"/>
      <c r="M102" s="129"/>
      <c r="W102" s="60">
        <v>3155</v>
      </c>
      <c r="X102" s="60">
        <f t="shared" si="4"/>
        <v>3948</v>
      </c>
      <c r="Z102" s="60">
        <v>0</v>
      </c>
    </row>
    <row r="103" spans="1:24" ht="30">
      <c r="A103" s="1" t="s">
        <v>6</v>
      </c>
      <c r="B103" s="44">
        <v>1301</v>
      </c>
      <c r="C103" s="86">
        <v>1440</v>
      </c>
      <c r="D103" s="86">
        <v>1145</v>
      </c>
      <c r="E103" s="86">
        <f>3155-1784</f>
        <v>1371</v>
      </c>
      <c r="F103" s="198">
        <f aca="true" t="shared" si="5" ref="F103:F109">E103-D103</f>
        <v>226</v>
      </c>
      <c r="G103" s="198">
        <f aca="true" t="shared" si="6" ref="G103:G109">E103/D103*100</f>
        <v>119.73799126637554</v>
      </c>
      <c r="H103" s="126"/>
      <c r="I103" s="121"/>
      <c r="K103" s="127"/>
      <c r="L103" s="127"/>
      <c r="M103" s="127"/>
      <c r="X103" s="60"/>
    </row>
    <row r="104" spans="1:24" ht="15.75">
      <c r="A104" s="1" t="s">
        <v>214</v>
      </c>
      <c r="B104" s="44">
        <v>1302</v>
      </c>
      <c r="C104" s="86">
        <v>3817</v>
      </c>
      <c r="D104" s="86">
        <v>4377</v>
      </c>
      <c r="E104" s="86">
        <f>1784+3948</f>
        <v>5732</v>
      </c>
      <c r="F104" s="198">
        <f t="shared" si="5"/>
        <v>1355</v>
      </c>
      <c r="G104" s="198">
        <f t="shared" si="6"/>
        <v>130.95727667352068</v>
      </c>
      <c r="I104" s="121"/>
      <c r="K104" s="127"/>
      <c r="L104" s="127"/>
      <c r="M104" s="127"/>
      <c r="X104" s="60"/>
    </row>
    <row r="105" spans="1:26" ht="15.75">
      <c r="A105" s="1" t="s">
        <v>9</v>
      </c>
      <c r="B105" s="124">
        <v>1310</v>
      </c>
      <c r="C105" s="86">
        <f>'V ОП'!B10</f>
        <v>13059</v>
      </c>
      <c r="D105" s="87">
        <v>14945</v>
      </c>
      <c r="E105" s="87">
        <v>14183</v>
      </c>
      <c r="F105" s="198">
        <f t="shared" si="5"/>
        <v>-762</v>
      </c>
      <c r="G105" s="198">
        <f t="shared" si="6"/>
        <v>94.90130478420876</v>
      </c>
      <c r="H105" s="166"/>
      <c r="I105" s="121"/>
      <c r="K105" s="127"/>
      <c r="L105" s="127"/>
      <c r="M105" s="127"/>
      <c r="W105" s="68">
        <v>14183</v>
      </c>
      <c r="X105" s="60">
        <f t="shared" si="4"/>
        <v>0</v>
      </c>
      <c r="Z105" s="68">
        <v>14183</v>
      </c>
    </row>
    <row r="106" spans="1:26" ht="15.75">
      <c r="A106" s="1" t="s">
        <v>10</v>
      </c>
      <c r="B106" s="124">
        <v>1320</v>
      </c>
      <c r="C106" s="86">
        <f>'V ОП'!B18-'V ОП'!B10</f>
        <v>2712</v>
      </c>
      <c r="D106" s="88">
        <f>D105*0.22</f>
        <v>3287.9</v>
      </c>
      <c r="E106" s="150">
        <v>3007</v>
      </c>
      <c r="F106" s="198">
        <f t="shared" si="5"/>
        <v>-280.9000000000001</v>
      </c>
      <c r="G106" s="198">
        <f t="shared" si="6"/>
        <v>91.45655281486663</v>
      </c>
      <c r="I106" s="121"/>
      <c r="K106" s="127"/>
      <c r="L106" s="127"/>
      <c r="M106" s="127"/>
      <c r="W106" s="68">
        <v>3007</v>
      </c>
      <c r="X106" s="60">
        <f t="shared" si="4"/>
        <v>0</v>
      </c>
      <c r="Z106" s="68">
        <v>3007</v>
      </c>
    </row>
    <row r="107" spans="1:28" ht="15.75">
      <c r="A107" s="1" t="s">
        <v>139</v>
      </c>
      <c r="B107" s="124">
        <v>1330</v>
      </c>
      <c r="C107" s="86">
        <v>2696</v>
      </c>
      <c r="D107" s="86">
        <v>2484</v>
      </c>
      <c r="E107" s="86">
        <v>3426</v>
      </c>
      <c r="F107" s="198">
        <f t="shared" si="5"/>
        <v>942</v>
      </c>
      <c r="G107" s="198">
        <f t="shared" si="6"/>
        <v>137.92270531400965</v>
      </c>
      <c r="I107" s="121"/>
      <c r="K107" s="127"/>
      <c r="L107" s="127"/>
      <c r="M107" s="127"/>
      <c r="W107" s="68">
        <v>3426</v>
      </c>
      <c r="X107" s="60">
        <f t="shared" si="4"/>
        <v>0</v>
      </c>
      <c r="AB107" s="138"/>
    </row>
    <row r="108" spans="1:24" ht="15.75">
      <c r="A108" s="1" t="s">
        <v>140</v>
      </c>
      <c r="B108" s="124">
        <v>1340</v>
      </c>
      <c r="C108" s="86">
        <v>5918</v>
      </c>
      <c r="D108" s="86">
        <v>9084</v>
      </c>
      <c r="E108" s="148">
        <f>10933-3948</f>
        <v>6985</v>
      </c>
      <c r="F108" s="198">
        <f t="shared" si="5"/>
        <v>-2099</v>
      </c>
      <c r="G108" s="198">
        <f t="shared" si="6"/>
        <v>76.89343901365038</v>
      </c>
      <c r="I108" s="121"/>
      <c r="K108" s="127"/>
      <c r="L108" s="127"/>
      <c r="M108" s="127"/>
      <c r="W108" s="68">
        <v>10933</v>
      </c>
      <c r="X108" s="60">
        <f>E108-W108</f>
        <v>-3948</v>
      </c>
    </row>
    <row r="109" spans="1:26" s="60" customFormat="1" ht="15.75">
      <c r="A109" s="57" t="s">
        <v>141</v>
      </c>
      <c r="B109" s="114">
        <v>1350</v>
      </c>
      <c r="C109" s="89">
        <f>SUM(C103:C108)</f>
        <v>29642</v>
      </c>
      <c r="D109" s="89">
        <f>SUM(D103:D108)</f>
        <v>35322.9</v>
      </c>
      <c r="E109" s="151">
        <f>SUM(E103:E108)</f>
        <v>34704</v>
      </c>
      <c r="F109" s="171">
        <f t="shared" si="5"/>
        <v>-618.9000000000015</v>
      </c>
      <c r="G109" s="171">
        <f t="shared" si="6"/>
        <v>98.24787885479391</v>
      </c>
      <c r="I109" s="122"/>
      <c r="K109" s="129"/>
      <c r="L109" s="129"/>
      <c r="M109" s="129"/>
      <c r="Z109" s="60">
        <v>17190</v>
      </c>
    </row>
    <row r="110" spans="3:13" ht="15.75">
      <c r="C110" s="71"/>
      <c r="E110" s="138"/>
      <c r="F110" s="72"/>
      <c r="G110" s="72"/>
      <c r="K110" s="127"/>
      <c r="L110" s="127"/>
      <c r="M110" s="127"/>
    </row>
    <row r="111" spans="3:13" ht="15.75">
      <c r="C111" s="71"/>
      <c r="F111" s="154"/>
      <c r="G111" s="154"/>
      <c r="K111" s="127"/>
      <c r="L111" s="127"/>
      <c r="M111" s="127"/>
    </row>
    <row r="112" spans="1:9" s="16" customFormat="1" ht="15">
      <c r="A112" s="10" t="s">
        <v>185</v>
      </c>
      <c r="B112" s="11"/>
      <c r="C112" s="224" t="s">
        <v>66</v>
      </c>
      <c r="D112" s="225"/>
      <c r="E112" s="225"/>
      <c r="F112" s="119"/>
      <c r="G112" s="13" t="s">
        <v>186</v>
      </c>
      <c r="I112" s="90"/>
    </row>
    <row r="113" spans="1:9" s="16" customFormat="1" ht="15">
      <c r="A113" s="10"/>
      <c r="B113" s="11"/>
      <c r="C113" s="33"/>
      <c r="D113" s="67"/>
      <c r="E113" s="67"/>
      <c r="F113" s="119"/>
      <c r="G113" s="34"/>
      <c r="I113" s="90"/>
    </row>
    <row r="114" spans="1:9" s="16" customFormat="1" ht="15">
      <c r="A114" s="10" t="s">
        <v>146</v>
      </c>
      <c r="B114" s="11"/>
      <c r="C114" s="224" t="s">
        <v>66</v>
      </c>
      <c r="D114" s="225"/>
      <c r="E114" s="225"/>
      <c r="F114" s="119"/>
      <c r="G114" s="13" t="s">
        <v>187</v>
      </c>
      <c r="I114" s="90"/>
    </row>
    <row r="115" spans="3:9" s="16" customFormat="1" ht="15">
      <c r="C115" s="120"/>
      <c r="I115" s="90"/>
    </row>
    <row r="116" ht="15.75">
      <c r="E116" s="72"/>
    </row>
    <row r="118" ht="15.75">
      <c r="C118" s="73"/>
    </row>
    <row r="119" ht="15.75">
      <c r="C119" s="73"/>
    </row>
  </sheetData>
  <sheetProtection/>
  <mergeCells count="10">
    <mergeCell ref="C112:E112"/>
    <mergeCell ref="C114:E114"/>
    <mergeCell ref="H23:Q23"/>
    <mergeCell ref="H24:Q24"/>
    <mergeCell ref="A6:G6"/>
    <mergeCell ref="A1:G1"/>
    <mergeCell ref="A3:G3"/>
    <mergeCell ref="A2:G2"/>
    <mergeCell ref="A4:G4"/>
    <mergeCell ref="A101:G101"/>
  </mergeCells>
  <printOptions/>
  <pageMargins left="0.984251968503937" right="0.1968503937007874" top="0.35433070866141736" bottom="0.35433070866141736" header="0.31496062992125984" footer="0.31496062992125984"/>
  <pageSetup fitToHeight="2" fitToWidth="2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8.7109375" style="97" customWidth="1"/>
    <col min="2" max="2" width="6.00390625" style="97" customWidth="1"/>
    <col min="3" max="3" width="9.7109375" style="98" customWidth="1"/>
    <col min="4" max="7" width="9.7109375" style="97" customWidth="1"/>
    <col min="8" max="8" width="9.140625" style="97" customWidth="1"/>
    <col min="9" max="9" width="18.140625" style="97" customWidth="1"/>
    <col min="10" max="16384" width="9.140625" style="97" customWidth="1"/>
  </cols>
  <sheetData>
    <row r="1" spans="3:7" ht="15">
      <c r="C1" s="167"/>
      <c r="D1" s="167"/>
      <c r="E1" s="167"/>
      <c r="F1" s="167"/>
      <c r="G1" s="167" t="s">
        <v>126</v>
      </c>
    </row>
    <row r="2" spans="1:7" ht="15.75">
      <c r="A2" s="235" t="s">
        <v>287</v>
      </c>
      <c r="B2" s="235"/>
      <c r="C2" s="235"/>
      <c r="D2" s="235"/>
      <c r="E2" s="235"/>
      <c r="F2" s="235"/>
      <c r="G2" s="235"/>
    </row>
    <row r="3" spans="1:7" ht="12" customHeight="1">
      <c r="A3" s="186"/>
      <c r="B3" s="187"/>
      <c r="C3" s="188"/>
      <c r="D3" s="188"/>
      <c r="E3" s="189"/>
      <c r="F3" s="188"/>
      <c r="G3" s="188"/>
    </row>
    <row r="4" spans="1:7" s="50" customFormat="1" ht="57" customHeight="1">
      <c r="A4" s="2" t="s">
        <v>1</v>
      </c>
      <c r="B4" s="3" t="s">
        <v>2</v>
      </c>
      <c r="C4" s="3" t="s">
        <v>288</v>
      </c>
      <c r="D4" s="3" t="s">
        <v>289</v>
      </c>
      <c r="E4" s="3" t="s">
        <v>290</v>
      </c>
      <c r="F4" s="3" t="s">
        <v>281</v>
      </c>
      <c r="G4" s="3" t="s">
        <v>282</v>
      </c>
    </row>
    <row r="5" spans="1:7" s="50" customFormat="1" ht="12.75">
      <c r="A5" s="46">
        <v>1</v>
      </c>
      <c r="B5" s="65">
        <v>2</v>
      </c>
      <c r="C5" s="106">
        <v>3</v>
      </c>
      <c r="D5" s="65">
        <v>4</v>
      </c>
      <c r="E5" s="65">
        <v>6</v>
      </c>
      <c r="F5" s="65">
        <v>7</v>
      </c>
      <c r="G5" s="65">
        <v>8</v>
      </c>
    </row>
    <row r="6" spans="1:7" s="50" customFormat="1" ht="14.25">
      <c r="A6" s="236" t="s">
        <v>44</v>
      </c>
      <c r="B6" s="236"/>
      <c r="C6" s="236"/>
      <c r="D6" s="236"/>
      <c r="E6" s="236"/>
      <c r="F6" s="236"/>
      <c r="G6" s="236"/>
    </row>
    <row r="7" spans="1:11" s="50" customFormat="1" ht="45">
      <c r="A7" s="108" t="s">
        <v>45</v>
      </c>
      <c r="B7" s="44">
        <v>2000</v>
      </c>
      <c r="C7" s="134">
        <v>-8687</v>
      </c>
      <c r="D7" s="78">
        <v>-5712</v>
      </c>
      <c r="E7" s="76">
        <v>-6999</v>
      </c>
      <c r="F7" s="78">
        <f>E7-D7</f>
        <v>-1287</v>
      </c>
      <c r="G7" s="76">
        <f>E7/D7*100</f>
        <v>122.53151260504202</v>
      </c>
      <c r="H7" s="62"/>
      <c r="I7" s="99"/>
      <c r="J7" s="99"/>
      <c r="K7" s="99"/>
    </row>
    <row r="8" spans="1:11" s="50" customFormat="1" ht="30">
      <c r="A8" s="108" t="s">
        <v>155</v>
      </c>
      <c r="B8" s="44">
        <v>2010</v>
      </c>
      <c r="C8" s="86"/>
      <c r="D8" s="76"/>
      <c r="E8" s="76"/>
      <c r="F8" s="78">
        <f aca="true" t="shared" si="0" ref="F8:F14">E8-D8</f>
        <v>0</v>
      </c>
      <c r="G8" s="76"/>
      <c r="H8" s="62"/>
      <c r="I8" s="99"/>
      <c r="J8" s="99"/>
      <c r="K8" s="99"/>
    </row>
    <row r="9" spans="1:11" s="50" customFormat="1" ht="15">
      <c r="A9" s="108" t="s">
        <v>46</v>
      </c>
      <c r="B9" s="44">
        <v>2030</v>
      </c>
      <c r="C9" s="86"/>
      <c r="D9" s="76"/>
      <c r="E9" s="76"/>
      <c r="F9" s="78">
        <f t="shared" si="0"/>
        <v>0</v>
      </c>
      <c r="G9" s="76"/>
      <c r="H9" s="62"/>
      <c r="I9" s="99"/>
      <c r="J9" s="99"/>
      <c r="K9" s="99"/>
    </row>
    <row r="10" spans="1:11" s="50" customFormat="1" ht="30">
      <c r="A10" s="108" t="s">
        <v>47</v>
      </c>
      <c r="B10" s="44">
        <v>2031</v>
      </c>
      <c r="C10" s="86"/>
      <c r="D10" s="76"/>
      <c r="E10" s="76"/>
      <c r="F10" s="78">
        <f t="shared" si="0"/>
        <v>0</v>
      </c>
      <c r="G10" s="76"/>
      <c r="H10" s="62"/>
      <c r="I10" s="99"/>
      <c r="J10" s="99"/>
      <c r="K10" s="99"/>
    </row>
    <row r="11" spans="1:11" s="50" customFormat="1" ht="15">
      <c r="A11" s="108" t="s">
        <v>48</v>
      </c>
      <c r="B11" s="44">
        <v>2040</v>
      </c>
      <c r="C11" s="86"/>
      <c r="D11" s="76"/>
      <c r="E11" s="134"/>
      <c r="F11" s="78">
        <f t="shared" si="0"/>
        <v>0</v>
      </c>
      <c r="G11" s="76"/>
      <c r="H11" s="62"/>
      <c r="I11" s="99"/>
      <c r="J11" s="99"/>
      <c r="K11" s="99"/>
    </row>
    <row r="12" spans="1:11" s="50" customFormat="1" ht="15">
      <c r="A12" s="108" t="s">
        <v>49</v>
      </c>
      <c r="B12" s="44">
        <v>2050</v>
      </c>
      <c r="C12" s="86"/>
      <c r="D12" s="76"/>
      <c r="E12" s="76"/>
      <c r="F12" s="78">
        <f t="shared" si="0"/>
        <v>0</v>
      </c>
      <c r="G12" s="76"/>
      <c r="H12" s="62"/>
      <c r="I12" s="99"/>
      <c r="J12" s="99"/>
      <c r="K12" s="99"/>
    </row>
    <row r="13" spans="1:11" s="50" customFormat="1" ht="15">
      <c r="A13" s="108" t="s">
        <v>50</v>
      </c>
      <c r="B13" s="44">
        <v>2060</v>
      </c>
      <c r="C13" s="86"/>
      <c r="D13" s="76"/>
      <c r="E13" s="76"/>
      <c r="F13" s="78">
        <f t="shared" si="0"/>
        <v>0</v>
      </c>
      <c r="G13" s="76"/>
      <c r="H13" s="62"/>
      <c r="I13" s="99"/>
      <c r="J13" s="99"/>
      <c r="K13" s="99"/>
    </row>
    <row r="14" spans="1:11" s="50" customFormat="1" ht="45">
      <c r="A14" s="108" t="s">
        <v>51</v>
      </c>
      <c r="B14" s="44">
        <v>2070</v>
      </c>
      <c r="C14" s="134">
        <v>-6999</v>
      </c>
      <c r="D14" s="78">
        <v>-4333</v>
      </c>
      <c r="E14" s="76">
        <v>-6021</v>
      </c>
      <c r="F14" s="78">
        <f t="shared" si="0"/>
        <v>-1688</v>
      </c>
      <c r="G14" s="76">
        <f>E14/D14*100</f>
        <v>138.95684283406416</v>
      </c>
      <c r="H14" s="62"/>
      <c r="I14" s="99"/>
      <c r="J14" s="99"/>
      <c r="K14" s="99"/>
    </row>
    <row r="15" spans="1:11" s="50" customFormat="1" ht="14.25">
      <c r="A15" s="236" t="s">
        <v>52</v>
      </c>
      <c r="B15" s="236"/>
      <c r="C15" s="236"/>
      <c r="D15" s="236"/>
      <c r="E15" s="236"/>
      <c r="F15" s="236"/>
      <c r="G15" s="236"/>
      <c r="I15" s="99"/>
      <c r="J15" s="99"/>
      <c r="K15" s="99"/>
    </row>
    <row r="16" spans="1:11" s="50" customFormat="1" ht="42.75">
      <c r="A16" s="107" t="s">
        <v>154</v>
      </c>
      <c r="B16" s="48">
        <v>2110</v>
      </c>
      <c r="C16" s="133">
        <f>C18+C22</f>
        <v>4490.6</v>
      </c>
      <c r="D16" s="109">
        <f>D18+D22</f>
        <v>4482</v>
      </c>
      <c r="E16" s="109">
        <f>E18+E22</f>
        <v>4258.5</v>
      </c>
      <c r="F16" s="109">
        <f>E16-D16</f>
        <v>-223.5</v>
      </c>
      <c r="G16" s="109">
        <f>E16/D16*100</f>
        <v>95.01338688085677</v>
      </c>
      <c r="I16" s="99"/>
      <c r="J16" s="99"/>
      <c r="K16" s="99"/>
    </row>
    <row r="17" spans="1:11" s="50" customFormat="1" ht="15">
      <c r="A17" s="1" t="s">
        <v>53</v>
      </c>
      <c r="B17" s="44">
        <v>2111</v>
      </c>
      <c r="C17" s="79"/>
      <c r="D17" s="76"/>
      <c r="E17" s="76"/>
      <c r="F17" s="109">
        <f aca="true" t="shared" si="1" ref="F17:F23">E17-D17</f>
        <v>0</v>
      </c>
      <c r="G17" s="109"/>
      <c r="I17" s="99"/>
      <c r="J17" s="99"/>
      <c r="K17" s="99"/>
    </row>
    <row r="18" spans="1:11" s="50" customFormat="1" ht="30">
      <c r="A18" s="1" t="s">
        <v>127</v>
      </c>
      <c r="B18" s="44">
        <v>2112</v>
      </c>
      <c r="C18" s="132">
        <v>4305.6</v>
      </c>
      <c r="D18" s="78">
        <v>4258</v>
      </c>
      <c r="E18" s="148">
        <v>4049</v>
      </c>
      <c r="F18" s="109">
        <f t="shared" si="1"/>
        <v>-209</v>
      </c>
      <c r="G18" s="109">
        <f aca="true" t="shared" si="2" ref="G18:G23">E18/D18*100</f>
        <v>95.09159229685298</v>
      </c>
      <c r="I18" s="99"/>
      <c r="J18" s="99"/>
      <c r="K18" s="99"/>
    </row>
    <row r="19" spans="1:11" s="50" customFormat="1" ht="30">
      <c r="A19" s="108" t="s">
        <v>128</v>
      </c>
      <c r="B19" s="46">
        <v>2113</v>
      </c>
      <c r="C19" s="79"/>
      <c r="D19" s="76"/>
      <c r="E19" s="78"/>
      <c r="F19" s="109">
        <f t="shared" si="1"/>
        <v>0</v>
      </c>
      <c r="G19" s="109"/>
      <c r="I19" s="99"/>
      <c r="J19" s="99"/>
      <c r="K19" s="99"/>
    </row>
    <row r="20" spans="1:11" s="50" customFormat="1" ht="15">
      <c r="A20" s="108" t="s">
        <v>54</v>
      </c>
      <c r="B20" s="46">
        <v>2114</v>
      </c>
      <c r="C20" s="79"/>
      <c r="D20" s="76"/>
      <c r="E20" s="78"/>
      <c r="F20" s="109">
        <f t="shared" si="1"/>
        <v>0</v>
      </c>
      <c r="G20" s="109"/>
      <c r="I20" s="99"/>
      <c r="J20" s="99"/>
      <c r="K20" s="99"/>
    </row>
    <row r="21" spans="1:11" s="50" customFormat="1" ht="15">
      <c r="A21" s="108" t="s">
        <v>55</v>
      </c>
      <c r="B21" s="46">
        <v>2115</v>
      </c>
      <c r="C21" s="79"/>
      <c r="D21" s="76"/>
      <c r="E21" s="78"/>
      <c r="F21" s="109">
        <f t="shared" si="1"/>
        <v>0</v>
      </c>
      <c r="G21" s="109"/>
      <c r="I21" s="99"/>
      <c r="J21" s="99"/>
      <c r="K21" s="99"/>
    </row>
    <row r="22" spans="1:11" s="50" customFormat="1" ht="15">
      <c r="A22" s="108" t="s">
        <v>56</v>
      </c>
      <c r="B22" s="46">
        <v>2116</v>
      </c>
      <c r="C22" s="76">
        <f>C23</f>
        <v>185</v>
      </c>
      <c r="D22" s="76">
        <f>D23</f>
        <v>224</v>
      </c>
      <c r="E22" s="210">
        <v>209.5</v>
      </c>
      <c r="F22" s="109">
        <f t="shared" si="1"/>
        <v>-14.5</v>
      </c>
      <c r="G22" s="109">
        <f t="shared" si="2"/>
        <v>93.52678571428571</v>
      </c>
      <c r="I22" s="99"/>
      <c r="J22" s="99"/>
      <c r="K22" s="99"/>
    </row>
    <row r="23" spans="1:11" s="50" customFormat="1" ht="15">
      <c r="A23" s="108" t="s">
        <v>224</v>
      </c>
      <c r="B23" s="46" t="s">
        <v>148</v>
      </c>
      <c r="C23" s="79">
        <v>185</v>
      </c>
      <c r="D23" s="76">
        <v>224</v>
      </c>
      <c r="E23" s="148">
        <v>209.5</v>
      </c>
      <c r="F23" s="109">
        <f t="shared" si="1"/>
        <v>-14.5</v>
      </c>
      <c r="G23" s="109">
        <f t="shared" si="2"/>
        <v>93.52678571428571</v>
      </c>
      <c r="H23" s="105"/>
      <c r="I23" s="99"/>
      <c r="J23" s="99"/>
      <c r="K23" s="99"/>
    </row>
    <row r="24" spans="1:11" s="50" customFormat="1" ht="42.75">
      <c r="A24" s="107" t="s">
        <v>57</v>
      </c>
      <c r="B24" s="49">
        <v>2120</v>
      </c>
      <c r="C24" s="133">
        <f>C25+C26+C29+C32+C33</f>
        <v>3447.3999999999996</v>
      </c>
      <c r="D24" s="109">
        <f>D25+D26+D29+D32+D33</f>
        <v>3972</v>
      </c>
      <c r="E24" s="152">
        <f>E25+E26+E29+E32+E33+E34</f>
        <v>3589.7</v>
      </c>
      <c r="F24" s="109">
        <f>E24-D24</f>
        <v>-382.3000000000002</v>
      </c>
      <c r="G24" s="109">
        <f>E24/D24*100</f>
        <v>90.37512588116817</v>
      </c>
      <c r="I24" s="99"/>
      <c r="J24" s="99"/>
      <c r="K24" s="99"/>
    </row>
    <row r="25" spans="1:11" s="50" customFormat="1" ht="15">
      <c r="A25" s="108" t="s">
        <v>55</v>
      </c>
      <c r="B25" s="46">
        <v>2121</v>
      </c>
      <c r="C25" s="132">
        <v>2180.6</v>
      </c>
      <c r="D25" s="76">
        <v>2690</v>
      </c>
      <c r="E25" s="148">
        <v>2606</v>
      </c>
      <c r="F25" s="109">
        <f aca="true" t="shared" si="3" ref="F25:F35">E25-D25</f>
        <v>-84</v>
      </c>
      <c r="G25" s="109">
        <f aca="true" t="shared" si="4" ref="G25:G35">E25/D25*100</f>
        <v>96.87732342007435</v>
      </c>
      <c r="I25" s="99"/>
      <c r="J25" s="99"/>
      <c r="K25" s="99"/>
    </row>
    <row r="26" spans="1:11" s="50" customFormat="1" ht="15">
      <c r="A26" s="108" t="s">
        <v>58</v>
      </c>
      <c r="B26" s="46">
        <v>2122</v>
      </c>
      <c r="C26" s="132">
        <v>50.6</v>
      </c>
      <c r="D26" s="76">
        <v>42</v>
      </c>
      <c r="E26" s="148">
        <v>4</v>
      </c>
      <c r="F26" s="109">
        <f t="shared" si="3"/>
        <v>-38</v>
      </c>
      <c r="G26" s="109">
        <f t="shared" si="4"/>
        <v>9.523809523809524</v>
      </c>
      <c r="H26" s="105"/>
      <c r="I26" s="99"/>
      <c r="J26" s="99"/>
      <c r="K26" s="99"/>
    </row>
    <row r="27" spans="1:11" s="50" customFormat="1" ht="15">
      <c r="A27" s="108" t="s">
        <v>59</v>
      </c>
      <c r="B27" s="46">
        <v>2123</v>
      </c>
      <c r="C27" s="132"/>
      <c r="D27" s="76"/>
      <c r="E27" s="148"/>
      <c r="F27" s="109">
        <f t="shared" si="3"/>
        <v>0</v>
      </c>
      <c r="G27" s="109"/>
      <c r="H27" s="105"/>
      <c r="I27" s="99"/>
      <c r="J27" s="99"/>
      <c r="K27" s="99"/>
    </row>
    <row r="28" spans="1:11" s="50" customFormat="1" ht="15">
      <c r="A28" s="108" t="s">
        <v>56</v>
      </c>
      <c r="B28" s="46">
        <v>2124</v>
      </c>
      <c r="C28" s="132"/>
      <c r="D28" s="76"/>
      <c r="E28" s="148"/>
      <c r="F28" s="109">
        <f t="shared" si="3"/>
        <v>0</v>
      </c>
      <c r="G28" s="109"/>
      <c r="H28" s="105"/>
      <c r="I28" s="99"/>
      <c r="J28" s="99"/>
      <c r="K28" s="99"/>
    </row>
    <row r="29" spans="1:11" s="50" customFormat="1" ht="15">
      <c r="A29" s="108" t="s">
        <v>161</v>
      </c>
      <c r="B29" s="46" t="s">
        <v>258</v>
      </c>
      <c r="C29" s="132">
        <v>566.5</v>
      </c>
      <c r="D29" s="76">
        <v>572</v>
      </c>
      <c r="E29" s="148">
        <v>584</v>
      </c>
      <c r="F29" s="109">
        <f t="shared" si="3"/>
        <v>12</v>
      </c>
      <c r="G29" s="109">
        <f t="shared" si="4"/>
        <v>102.09790209790211</v>
      </c>
      <c r="H29" s="105"/>
      <c r="I29" s="99"/>
      <c r="J29" s="99"/>
      <c r="K29" s="99"/>
    </row>
    <row r="30" spans="1:11" s="50" customFormat="1" ht="15">
      <c r="A30" s="108" t="s">
        <v>162</v>
      </c>
      <c r="B30" s="46" t="s">
        <v>259</v>
      </c>
      <c r="C30" s="79"/>
      <c r="D30" s="76"/>
      <c r="E30" s="137"/>
      <c r="F30" s="109">
        <f t="shared" si="3"/>
        <v>0</v>
      </c>
      <c r="G30" s="109"/>
      <c r="I30" s="99"/>
      <c r="J30" s="99"/>
      <c r="K30" s="99"/>
    </row>
    <row r="31" spans="1:11" s="50" customFormat="1" ht="15">
      <c r="A31" s="108" t="s">
        <v>59</v>
      </c>
      <c r="B31" s="46" t="s">
        <v>260</v>
      </c>
      <c r="C31" s="79"/>
      <c r="D31" s="76"/>
      <c r="E31" s="137"/>
      <c r="F31" s="109">
        <f t="shared" si="3"/>
        <v>0</v>
      </c>
      <c r="G31" s="109"/>
      <c r="I31" s="99"/>
      <c r="J31" s="99"/>
      <c r="K31" s="99"/>
    </row>
    <row r="32" spans="1:11" s="50" customFormat="1" ht="15">
      <c r="A32" s="1" t="s">
        <v>53</v>
      </c>
      <c r="B32" s="46" t="s">
        <v>261</v>
      </c>
      <c r="C32" s="132">
        <v>393.7</v>
      </c>
      <c r="D32" s="76">
        <v>397</v>
      </c>
      <c r="E32" s="79">
        <v>169</v>
      </c>
      <c r="F32" s="109">
        <f t="shared" si="3"/>
        <v>-228</v>
      </c>
      <c r="G32" s="109">
        <f t="shared" si="4"/>
        <v>42.56926952141058</v>
      </c>
      <c r="I32" s="99"/>
      <c r="J32" s="99"/>
      <c r="K32" s="99"/>
    </row>
    <row r="33" spans="1:11" s="50" customFormat="1" ht="15">
      <c r="A33" s="108" t="s">
        <v>173</v>
      </c>
      <c r="B33" s="46" t="s">
        <v>262</v>
      </c>
      <c r="C33" s="79">
        <v>256</v>
      </c>
      <c r="D33" s="76">
        <v>271</v>
      </c>
      <c r="E33" s="82">
        <v>222.5</v>
      </c>
      <c r="F33" s="109">
        <f t="shared" si="3"/>
        <v>-48.5</v>
      </c>
      <c r="G33" s="109">
        <f t="shared" si="4"/>
        <v>82.10332103321034</v>
      </c>
      <c r="I33" s="99"/>
      <c r="J33" s="99"/>
      <c r="K33" s="99"/>
    </row>
    <row r="34" spans="1:11" s="50" customFormat="1" ht="15">
      <c r="A34" s="108" t="s">
        <v>194</v>
      </c>
      <c r="B34" s="46" t="s">
        <v>263</v>
      </c>
      <c r="C34" s="79"/>
      <c r="D34" s="76"/>
      <c r="E34" s="148">
        <v>4.2</v>
      </c>
      <c r="F34" s="109"/>
      <c r="G34" s="109"/>
      <c r="I34" s="99"/>
      <c r="J34" s="99"/>
      <c r="K34" s="99"/>
    </row>
    <row r="35" spans="1:11" s="50" customFormat="1" ht="28.5">
      <c r="A35" s="107" t="s">
        <v>153</v>
      </c>
      <c r="B35" s="49">
        <v>2130</v>
      </c>
      <c r="C35" s="109">
        <f>C37</f>
        <v>2644</v>
      </c>
      <c r="D35" s="109">
        <f>D37</f>
        <v>3287</v>
      </c>
      <c r="E35" s="109">
        <f>E37</f>
        <v>3080</v>
      </c>
      <c r="F35" s="109">
        <f t="shared" si="3"/>
        <v>-207</v>
      </c>
      <c r="G35" s="109">
        <f t="shared" si="4"/>
        <v>93.70246425311835</v>
      </c>
      <c r="I35" s="99"/>
      <c r="J35" s="99"/>
      <c r="K35" s="99"/>
    </row>
    <row r="36" spans="1:11" s="50" customFormat="1" ht="15">
      <c r="A36" s="108" t="s">
        <v>60</v>
      </c>
      <c r="B36" s="46">
        <v>2131</v>
      </c>
      <c r="C36" s="79"/>
      <c r="D36" s="76"/>
      <c r="E36" s="76"/>
      <c r="F36" s="109"/>
      <c r="G36" s="109"/>
      <c r="I36" s="99"/>
      <c r="J36" s="99"/>
      <c r="K36" s="99"/>
    </row>
    <row r="37" spans="1:11" s="50" customFormat="1" ht="30">
      <c r="A37" s="108" t="s">
        <v>61</v>
      </c>
      <c r="B37" s="46">
        <v>2132</v>
      </c>
      <c r="C37" s="79">
        <v>2644</v>
      </c>
      <c r="D37" s="76">
        <v>3287</v>
      </c>
      <c r="E37" s="85">
        <v>3080</v>
      </c>
      <c r="F37" s="76">
        <f>E37-D37</f>
        <v>-207</v>
      </c>
      <c r="G37" s="76">
        <f>E37/D37*100</f>
        <v>93.70246425311835</v>
      </c>
      <c r="H37" s="105"/>
      <c r="I37" s="99"/>
      <c r="J37" s="99"/>
      <c r="K37" s="99"/>
    </row>
    <row r="38" spans="1:11" s="50" customFormat="1" ht="30">
      <c r="A38" s="108" t="s">
        <v>62</v>
      </c>
      <c r="B38" s="46">
        <v>2133</v>
      </c>
      <c r="C38" s="79"/>
      <c r="D38" s="76"/>
      <c r="E38" s="76"/>
      <c r="F38" s="109"/>
      <c r="G38" s="109"/>
      <c r="I38" s="99"/>
      <c r="J38" s="99"/>
      <c r="K38" s="99"/>
    </row>
    <row r="39" spans="1:11" s="50" customFormat="1" ht="28.5">
      <c r="A39" s="107" t="s">
        <v>63</v>
      </c>
      <c r="B39" s="49">
        <v>2140</v>
      </c>
      <c r="C39" s="84"/>
      <c r="D39" s="109"/>
      <c r="E39" s="109"/>
      <c r="F39" s="109"/>
      <c r="G39" s="109"/>
      <c r="I39" s="99"/>
      <c r="J39" s="99"/>
      <c r="K39" s="99"/>
    </row>
    <row r="40" spans="1:11" s="50" customFormat="1" ht="60">
      <c r="A40" s="108" t="s">
        <v>64</v>
      </c>
      <c r="B40" s="46">
        <v>2141</v>
      </c>
      <c r="C40" s="79"/>
      <c r="D40" s="76"/>
      <c r="E40" s="76"/>
      <c r="F40" s="109"/>
      <c r="G40" s="109"/>
      <c r="I40" s="99"/>
      <c r="J40" s="99"/>
      <c r="K40" s="99"/>
    </row>
    <row r="41" spans="1:7" s="50" customFormat="1" ht="30">
      <c r="A41" s="108" t="s">
        <v>65</v>
      </c>
      <c r="B41" s="46">
        <v>2142</v>
      </c>
      <c r="C41" s="79"/>
      <c r="D41" s="76"/>
      <c r="E41" s="76"/>
      <c r="F41" s="109"/>
      <c r="G41" s="109"/>
    </row>
    <row r="42" spans="1:7" s="50" customFormat="1" ht="12.75" hidden="1">
      <c r="A42" s="47"/>
      <c r="B42" s="46"/>
      <c r="C42" s="52"/>
      <c r="D42" s="43"/>
      <c r="E42" s="43"/>
      <c r="F42" s="42">
        <f>E42/4</f>
        <v>0</v>
      </c>
      <c r="G42" s="43"/>
    </row>
    <row r="43" spans="1:7" s="50" customFormat="1" ht="12.75" hidden="1">
      <c r="A43" s="47"/>
      <c r="B43" s="46"/>
      <c r="C43" s="52"/>
      <c r="D43" s="43"/>
      <c r="E43" s="43"/>
      <c r="F43" s="42">
        <f>E43/4</f>
        <v>0</v>
      </c>
      <c r="G43" s="43"/>
    </row>
    <row r="44" spans="1:7" ht="15" hidden="1">
      <c r="A44" s="7"/>
      <c r="B44" s="6"/>
      <c r="C44" s="56"/>
      <c r="D44" s="9"/>
      <c r="E44" s="8"/>
      <c r="F44" s="42">
        <f>E44/4</f>
        <v>0</v>
      </c>
      <c r="G44" s="9"/>
    </row>
    <row r="45" spans="1:10" ht="15">
      <c r="A45" s="7"/>
      <c r="B45" s="7"/>
      <c r="C45" s="7"/>
      <c r="D45" s="7"/>
      <c r="E45" s="7"/>
      <c r="F45" s="7"/>
      <c r="G45" s="7"/>
      <c r="H45" s="7"/>
      <c r="I45" s="7"/>
      <c r="J45" s="7"/>
    </row>
    <row r="46" spans="1:7" ht="15">
      <c r="A46" s="10" t="s">
        <v>185</v>
      </c>
      <c r="B46" s="11"/>
      <c r="C46" s="233" t="s">
        <v>66</v>
      </c>
      <c r="D46" s="234"/>
      <c r="E46" s="234"/>
      <c r="F46" s="12"/>
      <c r="G46" s="13" t="s">
        <v>186</v>
      </c>
    </row>
    <row r="47" spans="1:7" ht="15">
      <c r="A47" s="10"/>
      <c r="B47" s="11"/>
      <c r="C47" s="63"/>
      <c r="D47" s="64"/>
      <c r="E47" s="64"/>
      <c r="F47" s="12"/>
      <c r="G47" s="13"/>
    </row>
    <row r="48" spans="1:7" ht="15">
      <c r="A48" s="10" t="s">
        <v>147</v>
      </c>
      <c r="B48" s="11"/>
      <c r="C48" s="233" t="s">
        <v>66</v>
      </c>
      <c r="D48" s="234"/>
      <c r="E48" s="234"/>
      <c r="F48" s="12"/>
      <c r="G48" s="13" t="s">
        <v>187</v>
      </c>
    </row>
    <row r="49" spans="1:7" ht="15">
      <c r="A49" s="101"/>
      <c r="B49" s="101"/>
      <c r="D49" s="101"/>
      <c r="E49" s="101"/>
      <c r="F49" s="101"/>
      <c r="G49" s="101"/>
    </row>
    <row r="50" spans="1:7" ht="15">
      <c r="A50" s="101"/>
      <c r="B50" s="101"/>
      <c r="D50" s="101"/>
      <c r="E50" s="101"/>
      <c r="F50" s="101"/>
      <c r="G50" s="101"/>
    </row>
    <row r="51" spans="1:7" ht="15">
      <c r="A51" s="101"/>
      <c r="B51" s="101"/>
      <c r="D51" s="101"/>
      <c r="E51" s="101"/>
      <c r="F51" s="101"/>
      <c r="G51" s="101"/>
    </row>
    <row r="52" spans="1:7" ht="15">
      <c r="A52" s="101"/>
      <c r="B52" s="101"/>
      <c r="D52" s="101"/>
      <c r="E52" s="101"/>
      <c r="F52" s="101"/>
      <c r="G52" s="101"/>
    </row>
  </sheetData>
  <sheetProtection/>
  <mergeCells count="5">
    <mergeCell ref="C48:E48"/>
    <mergeCell ref="A2:G2"/>
    <mergeCell ref="A6:G6"/>
    <mergeCell ref="A15:G15"/>
    <mergeCell ref="C46:E46"/>
  </mergeCells>
  <printOptions/>
  <pageMargins left="0.984251968503937" right="0.1968503937007874" top="0.5511811023622047" bottom="0.7480314960629921" header="0.31496062992125984" footer="0.31496062992125984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2"/>
  <sheetViews>
    <sheetView zoomScalePageLayoutView="0" workbookViewId="0" topLeftCell="A1">
      <selection activeCell="A2" sqref="A2:G2"/>
    </sheetView>
  </sheetViews>
  <sheetFormatPr defaultColWidth="9.140625" defaultRowHeight="12.75"/>
  <cols>
    <col min="1" max="1" width="33.7109375" style="97" customWidth="1"/>
    <col min="2" max="2" width="6.421875" style="97" customWidth="1"/>
    <col min="3" max="3" width="9.7109375" style="101" customWidth="1"/>
    <col min="4" max="7" width="9.7109375" style="97" customWidth="1"/>
    <col min="8" max="16384" width="9.140625" style="97" customWidth="1"/>
  </cols>
  <sheetData>
    <row r="1" spans="3:7" ht="15">
      <c r="C1" s="167"/>
      <c r="D1" s="167"/>
      <c r="E1" s="167"/>
      <c r="F1" s="167"/>
      <c r="G1" s="167" t="s">
        <v>129</v>
      </c>
    </row>
    <row r="2" spans="1:7" ht="15.75">
      <c r="A2" s="235" t="s">
        <v>130</v>
      </c>
      <c r="B2" s="235"/>
      <c r="C2" s="235"/>
      <c r="D2" s="235"/>
      <c r="E2" s="235"/>
      <c r="F2" s="235"/>
      <c r="G2" s="235"/>
    </row>
    <row r="3" spans="1:7" ht="14.25" customHeight="1">
      <c r="A3" s="186"/>
      <c r="B3" s="187"/>
      <c r="C3" s="188"/>
      <c r="D3" s="188"/>
      <c r="E3" s="189"/>
      <c r="F3" s="188"/>
      <c r="G3" s="188"/>
    </row>
    <row r="4" spans="1:7" ht="51" customHeight="1">
      <c r="A4" s="2" t="s">
        <v>1</v>
      </c>
      <c r="B4" s="3" t="s">
        <v>2</v>
      </c>
      <c r="C4" s="3" t="s">
        <v>288</v>
      </c>
      <c r="D4" s="3" t="s">
        <v>289</v>
      </c>
      <c r="E4" s="3" t="s">
        <v>290</v>
      </c>
      <c r="F4" s="3" t="s">
        <v>281</v>
      </c>
      <c r="G4" s="3" t="s">
        <v>282</v>
      </c>
    </row>
    <row r="5" spans="1:7" s="100" customFormat="1" ht="12.75">
      <c r="A5" s="61">
        <v>1</v>
      </c>
      <c r="B5" s="66">
        <v>2</v>
      </c>
      <c r="C5" s="45">
        <v>3</v>
      </c>
      <c r="D5" s="66">
        <v>4</v>
      </c>
      <c r="E5" s="66">
        <v>6</v>
      </c>
      <c r="F5" s="66">
        <v>7</v>
      </c>
      <c r="G5" s="66">
        <v>8</v>
      </c>
    </row>
    <row r="6" spans="1:7" ht="15.75" customHeight="1">
      <c r="A6" s="237" t="s">
        <v>67</v>
      </c>
      <c r="B6" s="238"/>
      <c r="C6" s="238"/>
      <c r="D6" s="238"/>
      <c r="E6" s="238"/>
      <c r="F6" s="238"/>
      <c r="G6" s="238"/>
    </row>
    <row r="7" spans="1:7" ht="28.5">
      <c r="A7" s="200" t="s">
        <v>68</v>
      </c>
      <c r="B7" s="201">
        <v>3000</v>
      </c>
      <c r="C7" s="199">
        <v>35943</v>
      </c>
      <c r="D7" s="199">
        <f>SUM(D8:D15)</f>
        <v>39754</v>
      </c>
      <c r="E7" s="199">
        <f>SUM(E8:E15)</f>
        <v>39920</v>
      </c>
      <c r="F7" s="199">
        <f>E7-D7</f>
        <v>166</v>
      </c>
      <c r="G7" s="199">
        <f>E7/D7*100</f>
        <v>100.41756804346733</v>
      </c>
    </row>
    <row r="8" spans="1:7" ht="30">
      <c r="A8" s="54" t="s">
        <v>69</v>
      </c>
      <c r="B8" s="113">
        <v>3010</v>
      </c>
      <c r="C8" s="76">
        <v>32552</v>
      </c>
      <c r="D8" s="78">
        <v>35517</v>
      </c>
      <c r="E8" s="148">
        <v>34002</v>
      </c>
      <c r="F8" s="152">
        <f aca="true" t="shared" si="0" ref="F8:F21">E8-D8</f>
        <v>-1515</v>
      </c>
      <c r="G8" s="152">
        <f>E8/D8*100</f>
        <v>95.73443703015457</v>
      </c>
    </row>
    <row r="9" spans="1:7" ht="30">
      <c r="A9" s="54" t="s">
        <v>70</v>
      </c>
      <c r="B9" s="113">
        <v>3020</v>
      </c>
      <c r="C9" s="76"/>
      <c r="D9" s="78"/>
      <c r="E9" s="137"/>
      <c r="F9" s="152"/>
      <c r="G9" s="152"/>
    </row>
    <row r="10" spans="1:7" ht="15">
      <c r="A10" s="54" t="s">
        <v>71</v>
      </c>
      <c r="B10" s="113">
        <v>3021</v>
      </c>
      <c r="C10" s="76"/>
      <c r="D10" s="78"/>
      <c r="E10" s="137"/>
      <c r="F10" s="152"/>
      <c r="G10" s="152"/>
    </row>
    <row r="11" spans="1:7" ht="15">
      <c r="A11" s="54" t="s">
        <v>159</v>
      </c>
      <c r="B11" s="113">
        <v>3030</v>
      </c>
      <c r="C11" s="76">
        <v>1300</v>
      </c>
      <c r="D11" s="78">
        <v>3318</v>
      </c>
      <c r="E11" s="148">
        <v>3143</v>
      </c>
      <c r="F11" s="152">
        <f t="shared" si="0"/>
        <v>-175</v>
      </c>
      <c r="G11" s="152">
        <f>E11/D11*100</f>
        <v>94.72573839662446</v>
      </c>
    </row>
    <row r="12" spans="1:7" ht="30">
      <c r="A12" s="54" t="s">
        <v>72</v>
      </c>
      <c r="B12" s="113">
        <v>3040</v>
      </c>
      <c r="C12" s="76">
        <v>872</v>
      </c>
      <c r="D12" s="78"/>
      <c r="E12" s="148">
        <v>1222</v>
      </c>
      <c r="F12" s="152">
        <f t="shared" si="0"/>
        <v>1222</v>
      </c>
      <c r="G12" s="152"/>
    </row>
    <row r="13" spans="1:7" ht="30">
      <c r="A13" s="54" t="s">
        <v>131</v>
      </c>
      <c r="B13" s="113">
        <v>3050</v>
      </c>
      <c r="C13" s="76"/>
      <c r="D13" s="78"/>
      <c r="E13" s="137"/>
      <c r="F13" s="152">
        <f t="shared" si="0"/>
        <v>0</v>
      </c>
      <c r="G13" s="152"/>
    </row>
    <row r="14" spans="1:7" ht="15">
      <c r="A14" s="1" t="s">
        <v>188</v>
      </c>
      <c r="B14" s="113">
        <v>3055</v>
      </c>
      <c r="C14" s="85">
        <v>981</v>
      </c>
      <c r="D14" s="148">
        <v>644</v>
      </c>
      <c r="E14" s="148">
        <v>1002</v>
      </c>
      <c r="F14" s="152">
        <f t="shared" si="0"/>
        <v>358</v>
      </c>
      <c r="G14" s="152">
        <f>E14/D14*100</f>
        <v>155.59006211180125</v>
      </c>
    </row>
    <row r="15" spans="1:7" s="101" customFormat="1" ht="15">
      <c r="A15" s="159" t="s">
        <v>90</v>
      </c>
      <c r="B15" s="180">
        <v>3060</v>
      </c>
      <c r="C15" s="162">
        <f>SUM(C16:C21)</f>
        <v>238</v>
      </c>
      <c r="D15" s="162">
        <f>SUM(D16:D21)</f>
        <v>275</v>
      </c>
      <c r="E15" s="162">
        <f>SUM(E16:E21)</f>
        <v>551</v>
      </c>
      <c r="F15" s="168">
        <f t="shared" si="0"/>
        <v>276</v>
      </c>
      <c r="G15" s="168"/>
    </row>
    <row r="16" spans="1:7" ht="15">
      <c r="A16" s="54" t="s">
        <v>203</v>
      </c>
      <c r="B16" s="113" t="s">
        <v>264</v>
      </c>
      <c r="C16" s="81">
        <v>29</v>
      </c>
      <c r="D16" s="78">
        <v>32</v>
      </c>
      <c r="E16" s="148">
        <v>16</v>
      </c>
      <c r="F16" s="152">
        <f t="shared" si="0"/>
        <v>-16</v>
      </c>
      <c r="G16" s="152">
        <f>E16/D16*100</f>
        <v>50</v>
      </c>
    </row>
    <row r="17" spans="1:7" ht="15">
      <c r="A17" s="54" t="s">
        <v>225</v>
      </c>
      <c r="B17" s="113" t="s">
        <v>265</v>
      </c>
      <c r="C17" s="85">
        <v>197</v>
      </c>
      <c r="D17" s="78"/>
      <c r="E17" s="148">
        <v>210</v>
      </c>
      <c r="F17" s="152">
        <f t="shared" si="0"/>
        <v>210</v>
      </c>
      <c r="G17" s="152"/>
    </row>
    <row r="18" spans="1:7" ht="15">
      <c r="A18" s="54" t="s">
        <v>278</v>
      </c>
      <c r="B18" s="113" t="s">
        <v>266</v>
      </c>
      <c r="C18" s="85">
        <v>12</v>
      </c>
      <c r="D18" s="78"/>
      <c r="E18" s="148">
        <f>27+25</f>
        <v>52</v>
      </c>
      <c r="F18" s="152">
        <f t="shared" si="0"/>
        <v>52</v>
      </c>
      <c r="G18" s="152"/>
    </row>
    <row r="19" spans="1:7" ht="30">
      <c r="A19" s="1" t="s">
        <v>195</v>
      </c>
      <c r="B19" s="113" t="s">
        <v>267</v>
      </c>
      <c r="C19" s="83"/>
      <c r="D19" s="78"/>
      <c r="E19" s="137"/>
      <c r="F19" s="152">
        <f t="shared" si="0"/>
        <v>0</v>
      </c>
      <c r="G19" s="152"/>
    </row>
    <row r="20" spans="1:7" ht="15">
      <c r="A20" s="1" t="s">
        <v>302</v>
      </c>
      <c r="B20" s="113" t="s">
        <v>298</v>
      </c>
      <c r="C20" s="83"/>
      <c r="D20" s="78">
        <v>243</v>
      </c>
      <c r="E20" s="148">
        <v>243</v>
      </c>
      <c r="F20" s="152">
        <f t="shared" si="0"/>
        <v>0</v>
      </c>
      <c r="G20" s="152"/>
    </row>
    <row r="21" spans="1:7" ht="15">
      <c r="A21" s="1" t="s">
        <v>300</v>
      </c>
      <c r="B21" s="113" t="s">
        <v>299</v>
      </c>
      <c r="C21" s="83"/>
      <c r="D21" s="78"/>
      <c r="E21" s="148">
        <v>30</v>
      </c>
      <c r="F21" s="152">
        <f t="shared" si="0"/>
        <v>30</v>
      </c>
      <c r="G21" s="152"/>
    </row>
    <row r="22" spans="1:8" ht="28.5">
      <c r="A22" s="57" t="s">
        <v>73</v>
      </c>
      <c r="B22" s="114">
        <v>3100</v>
      </c>
      <c r="C22" s="168">
        <v>34638</v>
      </c>
      <c r="D22" s="168">
        <f>D23+D24+D26+D30+D33+D37</f>
        <v>38227</v>
      </c>
      <c r="E22" s="168">
        <f>E23+E24+E26+E30+E33+E37</f>
        <v>38858</v>
      </c>
      <c r="F22" s="168">
        <f>E22-D22</f>
        <v>631</v>
      </c>
      <c r="G22" s="168">
        <f>E22/D22*100</f>
        <v>101.65066575980329</v>
      </c>
      <c r="H22" s="155"/>
    </row>
    <row r="23" spans="1:9" ht="30">
      <c r="A23" s="54" t="s">
        <v>74</v>
      </c>
      <c r="B23" s="113">
        <v>3110</v>
      </c>
      <c r="C23" s="76">
        <v>13171</v>
      </c>
      <c r="D23" s="78">
        <v>14211</v>
      </c>
      <c r="E23" s="78">
        <f>17323-E38-E49</f>
        <v>15736</v>
      </c>
      <c r="F23" s="152">
        <f>E23-D23</f>
        <v>1525</v>
      </c>
      <c r="G23" s="78">
        <f>E23/D23*100</f>
        <v>110.73112377735556</v>
      </c>
      <c r="H23" s="155"/>
      <c r="I23" s="155"/>
    </row>
    <row r="24" spans="1:7" s="98" customFormat="1" ht="30">
      <c r="A24" s="54" t="s">
        <v>172</v>
      </c>
      <c r="B24" s="113">
        <v>3120</v>
      </c>
      <c r="C24" s="78">
        <v>12931</v>
      </c>
      <c r="D24" s="78">
        <v>18233</v>
      </c>
      <c r="E24" s="78">
        <f>11593+3080+2606+209.5</f>
        <v>17488.5</v>
      </c>
      <c r="F24" s="152">
        <f>E24-D24</f>
        <v>-744.5</v>
      </c>
      <c r="G24" s="78">
        <f>E24/D24*100</f>
        <v>95.91674436461362</v>
      </c>
    </row>
    <row r="25" spans="1:7" ht="30">
      <c r="A25" s="54" t="s">
        <v>132</v>
      </c>
      <c r="B25" s="113">
        <v>3130</v>
      </c>
      <c r="C25" s="76"/>
      <c r="D25" s="78"/>
      <c r="E25" s="78"/>
      <c r="F25" s="152">
        <f>E25/4</f>
        <v>0</v>
      </c>
      <c r="G25" s="152">
        <f>E25/4</f>
        <v>0</v>
      </c>
    </row>
    <row r="26" spans="1:7" ht="45">
      <c r="A26" s="159" t="s">
        <v>75</v>
      </c>
      <c r="B26" s="180">
        <v>3140</v>
      </c>
      <c r="C26" s="161">
        <v>7065.3</v>
      </c>
      <c r="D26" s="162">
        <f>D27+D28</f>
        <v>4655</v>
      </c>
      <c r="E26" s="162">
        <f>E27+E28</f>
        <v>4194</v>
      </c>
      <c r="F26" s="162">
        <f>E26-D26</f>
        <v>-461</v>
      </c>
      <c r="G26" s="162">
        <f>E26/D26*100</f>
        <v>90.09667024704619</v>
      </c>
    </row>
    <row r="27" spans="1:7" s="101" customFormat="1" ht="15" customHeight="1">
      <c r="A27" s="1" t="s">
        <v>94</v>
      </c>
      <c r="B27" s="44">
        <v>3141</v>
      </c>
      <c r="C27" s="130">
        <v>393.7</v>
      </c>
      <c r="D27" s="76">
        <v>397</v>
      </c>
      <c r="E27" s="81">
        <f>'ІІ Розр з бюджетом'!E32</f>
        <v>169</v>
      </c>
      <c r="F27" s="78">
        <f aca="true" t="shared" si="1" ref="F27:F42">E27-D27</f>
        <v>-228</v>
      </c>
      <c r="G27" s="78">
        <f aca="true" t="shared" si="2" ref="G27:G35">E27/D27*100</f>
        <v>42.56926952141058</v>
      </c>
    </row>
    <row r="28" spans="1:7" s="101" customFormat="1" ht="15">
      <c r="A28" s="1" t="s">
        <v>76</v>
      </c>
      <c r="B28" s="44">
        <v>3142</v>
      </c>
      <c r="C28" s="76">
        <v>4306</v>
      </c>
      <c r="D28" s="76">
        <v>4258</v>
      </c>
      <c r="E28" s="85">
        <v>4025</v>
      </c>
      <c r="F28" s="78">
        <f t="shared" si="1"/>
        <v>-233</v>
      </c>
      <c r="G28" s="78">
        <f t="shared" si="2"/>
        <v>94.52794739314231</v>
      </c>
    </row>
    <row r="29" spans="1:7" s="101" customFormat="1" ht="15">
      <c r="A29" s="1" t="s">
        <v>55</v>
      </c>
      <c r="B29" s="44">
        <v>3143</v>
      </c>
      <c r="C29" s="130">
        <v>2180.6</v>
      </c>
      <c r="D29" s="76">
        <v>2690</v>
      </c>
      <c r="E29" s="153">
        <f>'ІІ Розр з бюджетом'!E25</f>
        <v>2606</v>
      </c>
      <c r="F29" s="78">
        <f t="shared" si="1"/>
        <v>-84</v>
      </c>
      <c r="G29" s="78">
        <f t="shared" si="2"/>
        <v>96.87732342007435</v>
      </c>
    </row>
    <row r="30" spans="1:7" s="101" customFormat="1" ht="28.5" customHeight="1">
      <c r="A30" s="159" t="s">
        <v>77</v>
      </c>
      <c r="B30" s="160">
        <v>3144</v>
      </c>
      <c r="C30" s="161">
        <v>873.1</v>
      </c>
      <c r="D30" s="162">
        <f>D31</f>
        <v>271</v>
      </c>
      <c r="E30" s="162">
        <f>E31</f>
        <v>222.5</v>
      </c>
      <c r="F30" s="162">
        <f t="shared" si="1"/>
        <v>-48.5</v>
      </c>
      <c r="G30" s="162">
        <f t="shared" si="2"/>
        <v>82.10332103321034</v>
      </c>
    </row>
    <row r="31" spans="1:7" s="101" customFormat="1" ht="30" customHeight="1">
      <c r="A31" s="1" t="s">
        <v>133</v>
      </c>
      <c r="B31" s="44" t="s">
        <v>142</v>
      </c>
      <c r="C31" s="76">
        <v>256</v>
      </c>
      <c r="D31" s="76">
        <v>271</v>
      </c>
      <c r="E31" s="196">
        <f>'ІІ Розр з бюджетом'!E33</f>
        <v>222.5</v>
      </c>
      <c r="F31" s="78">
        <f t="shared" si="1"/>
        <v>-48.5</v>
      </c>
      <c r="G31" s="78">
        <f t="shared" si="2"/>
        <v>82.10332103321034</v>
      </c>
    </row>
    <row r="32" spans="1:7" s="101" customFormat="1" ht="30" customHeight="1">
      <c r="A32" s="1" t="s">
        <v>224</v>
      </c>
      <c r="B32" s="44" t="s">
        <v>268</v>
      </c>
      <c r="C32" s="76">
        <v>185</v>
      </c>
      <c r="D32" s="76"/>
      <c r="E32" s="153">
        <f>'ІІ Розр з бюджетом'!E23</f>
        <v>209.5</v>
      </c>
      <c r="F32" s="78">
        <f t="shared" si="1"/>
        <v>209.5</v>
      </c>
      <c r="G32" s="78"/>
    </row>
    <row r="33" spans="1:7" s="101" customFormat="1" ht="15">
      <c r="A33" s="159" t="s">
        <v>78</v>
      </c>
      <c r="B33" s="160">
        <v>3150</v>
      </c>
      <c r="C33" s="161">
        <f>C34+C35</f>
        <v>617.1</v>
      </c>
      <c r="D33" s="162">
        <v>614</v>
      </c>
      <c r="E33" s="162">
        <f>E34+E35</f>
        <v>588</v>
      </c>
      <c r="F33" s="162">
        <f t="shared" si="1"/>
        <v>-26</v>
      </c>
      <c r="G33" s="162">
        <f t="shared" si="2"/>
        <v>95.76547231270358</v>
      </c>
    </row>
    <row r="34" spans="1:7" ht="15">
      <c r="A34" s="54" t="s">
        <v>204</v>
      </c>
      <c r="B34" s="115" t="s">
        <v>269</v>
      </c>
      <c r="C34" s="130">
        <v>50.6</v>
      </c>
      <c r="D34" s="78">
        <v>42</v>
      </c>
      <c r="E34" s="148">
        <f>'ІІ Розр з бюджетом'!E26</f>
        <v>4</v>
      </c>
      <c r="F34" s="78">
        <f t="shared" si="1"/>
        <v>-38</v>
      </c>
      <c r="G34" s="78">
        <f t="shared" si="2"/>
        <v>9.523809523809524</v>
      </c>
    </row>
    <row r="35" spans="1:7" ht="15">
      <c r="A35" s="54" t="s">
        <v>161</v>
      </c>
      <c r="B35" s="115" t="s">
        <v>270</v>
      </c>
      <c r="C35" s="130">
        <v>566.5</v>
      </c>
      <c r="D35" s="78">
        <v>572</v>
      </c>
      <c r="E35" s="148">
        <f>'ІІ Розр з бюджетом'!E29</f>
        <v>584</v>
      </c>
      <c r="F35" s="78">
        <f t="shared" si="1"/>
        <v>12</v>
      </c>
      <c r="G35" s="78">
        <f t="shared" si="2"/>
        <v>102.09790209790211</v>
      </c>
    </row>
    <row r="36" spans="1:7" ht="15">
      <c r="A36" s="54" t="s">
        <v>79</v>
      </c>
      <c r="B36" s="113">
        <v>3160</v>
      </c>
      <c r="C36" s="76"/>
      <c r="D36" s="78"/>
      <c r="E36" s="78"/>
      <c r="F36" s="78">
        <f t="shared" si="1"/>
        <v>0</v>
      </c>
      <c r="G36" s="78"/>
    </row>
    <row r="37" spans="1:7" ht="15">
      <c r="A37" s="159" t="s">
        <v>12</v>
      </c>
      <c r="B37" s="180">
        <v>3170</v>
      </c>
      <c r="C37" s="181">
        <v>598</v>
      </c>
      <c r="D37" s="162">
        <f>D38</f>
        <v>243</v>
      </c>
      <c r="E37" s="162">
        <f>E38+E39+E40+E41</f>
        <v>629</v>
      </c>
      <c r="F37" s="162">
        <f t="shared" si="1"/>
        <v>386</v>
      </c>
      <c r="G37" s="162">
        <f>E37/D37*100</f>
        <v>258.8477366255144</v>
      </c>
    </row>
    <row r="38" spans="1:7" ht="15">
      <c r="A38" s="54" t="s">
        <v>235</v>
      </c>
      <c r="B38" s="113" t="s">
        <v>271</v>
      </c>
      <c r="C38" s="85">
        <v>202</v>
      </c>
      <c r="D38" s="148">
        <v>243</v>
      </c>
      <c r="E38" s="148">
        <v>243</v>
      </c>
      <c r="F38" s="78">
        <f t="shared" si="1"/>
        <v>0</v>
      </c>
      <c r="G38" s="78" t="s">
        <v>305</v>
      </c>
    </row>
    <row r="39" spans="1:7" ht="15">
      <c r="A39" s="54" t="s">
        <v>236</v>
      </c>
      <c r="B39" s="113" t="s">
        <v>272</v>
      </c>
      <c r="C39" s="85">
        <v>136</v>
      </c>
      <c r="D39" s="137"/>
      <c r="E39" s="148">
        <v>81</v>
      </c>
      <c r="F39" s="78">
        <f t="shared" si="1"/>
        <v>81</v>
      </c>
      <c r="G39" s="78"/>
    </row>
    <row r="40" spans="1:7" ht="15">
      <c r="A40" s="54" t="s">
        <v>237</v>
      </c>
      <c r="B40" s="113" t="s">
        <v>273</v>
      </c>
      <c r="C40" s="85">
        <v>260</v>
      </c>
      <c r="D40" s="137"/>
      <c r="E40" s="148">
        <f>108+14-E39</f>
        <v>41</v>
      </c>
      <c r="F40" s="78">
        <f t="shared" si="1"/>
        <v>41</v>
      </c>
      <c r="G40" s="78"/>
    </row>
    <row r="41" spans="1:7" ht="30">
      <c r="A41" s="54" t="s">
        <v>303</v>
      </c>
      <c r="B41" s="113" t="s">
        <v>301</v>
      </c>
      <c r="C41" s="85"/>
      <c r="D41" s="137"/>
      <c r="E41" s="148">
        <v>264</v>
      </c>
      <c r="F41" s="78">
        <f t="shared" si="1"/>
        <v>264</v>
      </c>
      <c r="G41" s="78"/>
    </row>
    <row r="42" spans="1:7" ht="28.5">
      <c r="A42" s="57" t="s">
        <v>80</v>
      </c>
      <c r="B42" s="114">
        <v>3195</v>
      </c>
      <c r="C42" s="168">
        <v>1305</v>
      </c>
      <c r="D42" s="168">
        <f>D7-D22</f>
        <v>1527</v>
      </c>
      <c r="E42" s="168">
        <f>E7-E22</f>
        <v>1062</v>
      </c>
      <c r="F42" s="168">
        <f t="shared" si="1"/>
        <v>-465</v>
      </c>
      <c r="G42" s="168">
        <f>E42/D42*100</f>
        <v>69.54813359528488</v>
      </c>
    </row>
    <row r="43" spans="1:7" ht="19.5" customHeight="1">
      <c r="A43" s="239" t="s">
        <v>81</v>
      </c>
      <c r="B43" s="240"/>
      <c r="C43" s="240"/>
      <c r="D43" s="240"/>
      <c r="E43" s="240"/>
      <c r="F43" s="240"/>
      <c r="G43" s="240"/>
    </row>
    <row r="44" spans="1:7" ht="28.5">
      <c r="A44" s="53" t="s">
        <v>82</v>
      </c>
      <c r="B44" s="116">
        <v>3200</v>
      </c>
      <c r="C44" s="109"/>
      <c r="D44" s="152"/>
      <c r="E44" s="152"/>
      <c r="F44" s="152"/>
      <c r="G44" s="152"/>
    </row>
    <row r="45" spans="1:7" ht="30">
      <c r="A45" s="54" t="s">
        <v>83</v>
      </c>
      <c r="B45" s="115">
        <v>3210</v>
      </c>
      <c r="C45" s="76"/>
      <c r="D45" s="78"/>
      <c r="E45" s="78"/>
      <c r="F45" s="78"/>
      <c r="G45" s="78"/>
    </row>
    <row r="46" spans="1:7" ht="30">
      <c r="A46" s="54" t="s">
        <v>84</v>
      </c>
      <c r="B46" s="113">
        <v>3220</v>
      </c>
      <c r="C46" s="76"/>
      <c r="D46" s="78"/>
      <c r="E46" s="78"/>
      <c r="F46" s="78"/>
      <c r="G46" s="78"/>
    </row>
    <row r="47" spans="1:7" ht="15">
      <c r="A47" s="54" t="s">
        <v>90</v>
      </c>
      <c r="B47" s="113">
        <v>3230</v>
      </c>
      <c r="C47" s="76"/>
      <c r="D47" s="78"/>
      <c r="E47" s="78"/>
      <c r="F47" s="78"/>
      <c r="G47" s="78"/>
    </row>
    <row r="48" spans="1:7" ht="28.5">
      <c r="A48" s="55" t="s">
        <v>85</v>
      </c>
      <c r="B48" s="117">
        <v>3255</v>
      </c>
      <c r="C48" s="109"/>
      <c r="D48" s="152"/>
      <c r="E48" s="152"/>
      <c r="F48" s="152"/>
      <c r="G48" s="152"/>
    </row>
    <row r="49" spans="1:7" ht="30">
      <c r="A49" s="54" t="s">
        <v>91</v>
      </c>
      <c r="B49" s="113">
        <v>3260</v>
      </c>
      <c r="C49" s="76"/>
      <c r="D49" s="78">
        <v>1715</v>
      </c>
      <c r="E49" s="148">
        <v>1344</v>
      </c>
      <c r="F49" s="78"/>
      <c r="G49" s="78"/>
    </row>
    <row r="50" spans="1:7" ht="30">
      <c r="A50" s="54" t="s">
        <v>92</v>
      </c>
      <c r="B50" s="113">
        <v>3265</v>
      </c>
      <c r="C50" s="76"/>
      <c r="D50" s="78"/>
      <c r="E50" s="78"/>
      <c r="F50" s="78"/>
      <c r="G50" s="78"/>
    </row>
    <row r="51" spans="1:7" ht="45">
      <c r="A51" s="54" t="s">
        <v>93</v>
      </c>
      <c r="B51" s="113">
        <v>3270</v>
      </c>
      <c r="C51" s="76"/>
      <c r="D51" s="78"/>
      <c r="E51" s="78"/>
      <c r="F51" s="78"/>
      <c r="G51" s="78"/>
    </row>
    <row r="52" spans="1:7" ht="15">
      <c r="A52" s="54" t="s">
        <v>12</v>
      </c>
      <c r="B52" s="113">
        <v>3280</v>
      </c>
      <c r="C52" s="76"/>
      <c r="D52" s="78"/>
      <c r="E52" s="78"/>
      <c r="F52" s="78"/>
      <c r="G52" s="78"/>
    </row>
    <row r="53" spans="1:7" ht="28.5">
      <c r="A53" s="59" t="s">
        <v>86</v>
      </c>
      <c r="B53" s="118">
        <v>3295</v>
      </c>
      <c r="C53" s="109">
        <v>0</v>
      </c>
      <c r="D53" s="152">
        <v>-1715</v>
      </c>
      <c r="E53" s="211" t="s">
        <v>306</v>
      </c>
      <c r="F53" s="78"/>
      <c r="G53" s="78"/>
    </row>
    <row r="54" spans="1:7" ht="15">
      <c r="A54" s="57" t="s">
        <v>87</v>
      </c>
      <c r="B54" s="114">
        <v>3400</v>
      </c>
      <c r="C54" s="168">
        <v>1305</v>
      </c>
      <c r="D54" s="168">
        <v>-188</v>
      </c>
      <c r="E54" s="168">
        <f>E42+E53</f>
        <v>-282</v>
      </c>
      <c r="F54" s="168">
        <f>E54-D54</f>
        <v>-94</v>
      </c>
      <c r="G54" s="168">
        <f>E54/D54*100</f>
        <v>150</v>
      </c>
    </row>
    <row r="55" spans="1:7" ht="15">
      <c r="A55" s="54" t="s">
        <v>88</v>
      </c>
      <c r="B55" s="113">
        <v>3405</v>
      </c>
      <c r="C55" s="76">
        <v>687</v>
      </c>
      <c r="D55" s="78">
        <v>1331</v>
      </c>
      <c r="E55" s="85">
        <v>1992</v>
      </c>
      <c r="F55" s="78">
        <f>E55-D55</f>
        <v>661</v>
      </c>
      <c r="G55" s="78">
        <f>E55/D55*100</f>
        <v>149.6619083395943</v>
      </c>
    </row>
    <row r="56" spans="1:9" ht="15">
      <c r="A56" s="54" t="s">
        <v>89</v>
      </c>
      <c r="B56" s="113">
        <v>3415</v>
      </c>
      <c r="C56" s="76">
        <v>1992</v>
      </c>
      <c r="D56" s="78">
        <f>D55+D7-D22-D49</f>
        <v>1143</v>
      </c>
      <c r="E56" s="79">
        <f>E55+E7-E22-E49</f>
        <v>1710</v>
      </c>
      <c r="F56" s="78">
        <f>E56-D56</f>
        <v>567</v>
      </c>
      <c r="G56" s="78">
        <f>E56/D56*100</f>
        <v>149.60629921259843</v>
      </c>
      <c r="H56" s="207"/>
      <c r="I56" s="155"/>
    </row>
    <row r="57" spans="1:7" ht="15">
      <c r="A57" s="17"/>
      <c r="B57" s="18"/>
      <c r="C57" s="103"/>
      <c r="D57" s="19"/>
      <c r="E57" s="20"/>
      <c r="F57" s="19"/>
      <c r="G57" s="19"/>
    </row>
    <row r="58" spans="1:7" ht="15">
      <c r="A58" s="17"/>
      <c r="B58" s="18"/>
      <c r="C58" s="103"/>
      <c r="D58" s="19"/>
      <c r="E58" s="20"/>
      <c r="F58" s="19"/>
      <c r="G58" s="19"/>
    </row>
    <row r="59" spans="1:10" ht="15">
      <c r="A59" s="10" t="s">
        <v>185</v>
      </c>
      <c r="B59" s="11"/>
      <c r="C59" s="224" t="s">
        <v>95</v>
      </c>
      <c r="D59" s="224"/>
      <c r="E59" s="224"/>
      <c r="F59" s="12"/>
      <c r="G59" s="13" t="s">
        <v>186</v>
      </c>
      <c r="H59" s="13"/>
      <c r="I59" s="13"/>
      <c r="J59" s="13"/>
    </row>
    <row r="60" spans="1:10" ht="15">
      <c r="A60" s="10"/>
      <c r="B60" s="11"/>
      <c r="C60" s="33"/>
      <c r="D60" s="33"/>
      <c r="E60" s="33"/>
      <c r="F60" s="12"/>
      <c r="G60" s="13"/>
      <c r="H60" s="13"/>
      <c r="I60" s="13"/>
      <c r="J60" s="13"/>
    </row>
    <row r="61" spans="1:10" ht="15">
      <c r="A61" s="10" t="s">
        <v>146</v>
      </c>
      <c r="B61" s="11"/>
      <c r="C61" s="224" t="s">
        <v>95</v>
      </c>
      <c r="D61" s="224"/>
      <c r="E61" s="224"/>
      <c r="F61" s="12"/>
      <c r="G61" s="13" t="s">
        <v>187</v>
      </c>
      <c r="H61" s="16"/>
      <c r="I61" s="16"/>
      <c r="J61" s="16"/>
    </row>
    <row r="62" spans="1:7" ht="15">
      <c r="A62" s="101"/>
      <c r="B62" s="101"/>
      <c r="D62" s="101"/>
      <c r="E62" s="101"/>
      <c r="F62" s="101"/>
      <c r="G62" s="101"/>
    </row>
    <row r="63" spans="1:7" ht="15">
      <c r="A63" s="101"/>
      <c r="B63" s="101"/>
      <c r="C63" s="104"/>
      <c r="D63" s="101"/>
      <c r="E63" s="101"/>
      <c r="F63" s="101"/>
      <c r="G63" s="101"/>
    </row>
    <row r="64" spans="1:7" ht="15">
      <c r="A64" s="101"/>
      <c r="B64" s="101"/>
      <c r="D64" s="101"/>
      <c r="E64" s="101"/>
      <c r="F64" s="101"/>
      <c r="G64" s="101"/>
    </row>
    <row r="65" spans="1:7" ht="15">
      <c r="A65" s="101"/>
      <c r="B65" s="101"/>
      <c r="D65" s="101"/>
      <c r="E65" s="101"/>
      <c r="F65" s="101"/>
      <c r="G65" s="101"/>
    </row>
    <row r="66" spans="1:7" ht="15">
      <c r="A66" s="101"/>
      <c r="B66" s="101"/>
      <c r="D66" s="101"/>
      <c r="E66" s="101"/>
      <c r="F66" s="101"/>
      <c r="G66" s="101"/>
    </row>
    <row r="67" spans="1:7" ht="15">
      <c r="A67" s="101"/>
      <c r="B67" s="101"/>
      <c r="D67" s="101"/>
      <c r="E67" s="101"/>
      <c r="F67" s="101"/>
      <c r="G67" s="101"/>
    </row>
    <row r="68" spans="1:7" ht="15">
      <c r="A68" s="101"/>
      <c r="B68" s="101"/>
      <c r="D68" s="101"/>
      <c r="E68" s="101"/>
      <c r="F68" s="101"/>
      <c r="G68" s="101"/>
    </row>
    <row r="69" spans="1:7" ht="15">
      <c r="A69" s="101"/>
      <c r="B69" s="101"/>
      <c r="D69" s="101"/>
      <c r="E69" s="101"/>
      <c r="F69" s="101"/>
      <c r="G69" s="101"/>
    </row>
    <row r="70" spans="1:7" ht="15">
      <c r="A70" s="101"/>
      <c r="B70" s="101"/>
      <c r="D70" s="101"/>
      <c r="E70" s="101"/>
      <c r="F70" s="101"/>
      <c r="G70" s="101"/>
    </row>
    <row r="71" spans="1:7" ht="15">
      <c r="A71" s="101"/>
      <c r="B71" s="101"/>
      <c r="D71" s="101"/>
      <c r="E71" s="101"/>
      <c r="F71" s="101"/>
      <c r="G71" s="101"/>
    </row>
    <row r="72" spans="1:7" ht="15">
      <c r="A72" s="101"/>
      <c r="B72" s="101"/>
      <c r="D72" s="101"/>
      <c r="E72" s="101"/>
      <c r="F72" s="101"/>
      <c r="G72" s="101"/>
    </row>
  </sheetData>
  <sheetProtection/>
  <mergeCells count="5">
    <mergeCell ref="C61:E61"/>
    <mergeCell ref="A2:G2"/>
    <mergeCell ref="A6:G6"/>
    <mergeCell ref="A43:G43"/>
    <mergeCell ref="C59:E59"/>
  </mergeCells>
  <printOptions/>
  <pageMargins left="0.984251968503937" right="0.1968503937007874" top="0.35433070866141736" bottom="0.35433070866141736" header="0.31496062992125984" footer="0.31496062992125984"/>
  <pageSetup fitToHeight="2" fitToWidth="2"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2.421875" style="97" customWidth="1"/>
    <col min="2" max="2" width="6.140625" style="97" bestFit="1" customWidth="1"/>
    <col min="3" max="3" width="9.7109375" style="98" customWidth="1"/>
    <col min="4" max="7" width="9.7109375" style="97" customWidth="1"/>
    <col min="8" max="8" width="9.140625" style="97" customWidth="1"/>
    <col min="9" max="9" width="9.140625" style="99" customWidth="1"/>
    <col min="10" max="16384" width="9.140625" style="97" customWidth="1"/>
  </cols>
  <sheetData>
    <row r="1" spans="3:7" ht="15">
      <c r="C1" s="97"/>
      <c r="G1" s="167" t="s">
        <v>135</v>
      </c>
    </row>
    <row r="2" spans="1:7" ht="15.75">
      <c r="A2" s="235" t="s">
        <v>291</v>
      </c>
      <c r="B2" s="235"/>
      <c r="C2" s="235"/>
      <c r="D2" s="235"/>
      <c r="E2" s="235"/>
      <c r="F2" s="235"/>
      <c r="G2" s="235"/>
    </row>
    <row r="3" spans="1:7" ht="15">
      <c r="A3" s="186"/>
      <c r="B3" s="187"/>
      <c r="C3" s="186"/>
      <c r="D3" s="186"/>
      <c r="E3" s="187"/>
      <c r="F3" s="186"/>
      <c r="G3" s="186"/>
    </row>
    <row r="4" spans="1:9" ht="78" customHeight="1">
      <c r="A4" s="2" t="s">
        <v>1</v>
      </c>
      <c r="B4" s="3" t="s">
        <v>2</v>
      </c>
      <c r="C4" s="3" t="s">
        <v>288</v>
      </c>
      <c r="D4" s="3" t="s">
        <v>289</v>
      </c>
      <c r="E4" s="3" t="s">
        <v>290</v>
      </c>
      <c r="F4" s="3" t="s">
        <v>281</v>
      </c>
      <c r="G4" s="3" t="s">
        <v>282</v>
      </c>
      <c r="I4" s="102"/>
    </row>
    <row r="5" spans="1:7" s="50" customFormat="1" ht="12.75">
      <c r="A5" s="44">
        <v>1</v>
      </c>
      <c r="B5" s="21">
        <v>2</v>
      </c>
      <c r="C5" s="61">
        <v>3</v>
      </c>
      <c r="D5" s="21">
        <v>4</v>
      </c>
      <c r="E5" s="21">
        <v>6</v>
      </c>
      <c r="F5" s="21">
        <v>7</v>
      </c>
      <c r="G5" s="21">
        <v>8</v>
      </c>
    </row>
    <row r="6" spans="1:9" ht="28.5">
      <c r="A6" s="4" t="s">
        <v>96</v>
      </c>
      <c r="B6" s="110">
        <v>4000</v>
      </c>
      <c r="C6" s="51">
        <f>C8</f>
        <v>670</v>
      </c>
      <c r="D6" s="51">
        <f>SUM(D7:D12)</f>
        <v>1482</v>
      </c>
      <c r="E6" s="51">
        <f>SUM(E7:E12)</f>
        <v>2352</v>
      </c>
      <c r="F6" s="51">
        <f>E6-D6</f>
        <v>870</v>
      </c>
      <c r="G6" s="51">
        <f>E6/D6*100</f>
        <v>158.70445344129556</v>
      </c>
      <c r="I6" s="102"/>
    </row>
    <row r="7" spans="1:9" ht="15">
      <c r="A7" s="1" t="s">
        <v>97</v>
      </c>
      <c r="B7" s="111" t="s">
        <v>98</v>
      </c>
      <c r="C7" s="51"/>
      <c r="D7" s="51"/>
      <c r="E7" s="164"/>
      <c r="F7" s="51">
        <f aca="true" t="shared" si="0" ref="F7:F12">E7-D7</f>
        <v>0</v>
      </c>
      <c r="G7" s="51"/>
      <c r="I7" s="102"/>
    </row>
    <row r="8" spans="1:9" ht="30">
      <c r="A8" s="1" t="s">
        <v>99</v>
      </c>
      <c r="B8" s="110">
        <v>4020</v>
      </c>
      <c r="C8" s="51">
        <v>670</v>
      </c>
      <c r="D8" s="51">
        <v>1347</v>
      </c>
      <c r="E8" s="163">
        <v>2254</v>
      </c>
      <c r="F8" s="51">
        <f t="shared" si="0"/>
        <v>907</v>
      </c>
      <c r="G8" s="51">
        <f>E8/D8*100</f>
        <v>167.33481811432813</v>
      </c>
      <c r="I8" s="102"/>
    </row>
    <row r="9" spans="1:9" ht="30">
      <c r="A9" s="1" t="s">
        <v>100</v>
      </c>
      <c r="B9" s="111">
        <v>4030</v>
      </c>
      <c r="C9" s="51"/>
      <c r="D9" s="51"/>
      <c r="E9" s="197">
        <v>49</v>
      </c>
      <c r="F9" s="51">
        <f t="shared" si="0"/>
        <v>49</v>
      </c>
      <c r="G9" s="51"/>
      <c r="I9" s="102"/>
    </row>
    <row r="10" spans="1:11" ht="30">
      <c r="A10" s="1" t="s">
        <v>101</v>
      </c>
      <c r="B10" s="110">
        <v>4040</v>
      </c>
      <c r="C10" s="51"/>
      <c r="D10" s="51"/>
      <c r="E10" s="140"/>
      <c r="F10" s="51"/>
      <c r="G10" s="51"/>
      <c r="I10" s="102"/>
      <c r="K10" s="97" t="s">
        <v>160</v>
      </c>
    </row>
    <row r="11" spans="1:9" ht="45">
      <c r="A11" s="1" t="s">
        <v>102</v>
      </c>
      <c r="B11" s="111">
        <v>4050</v>
      </c>
      <c r="C11" s="51"/>
      <c r="D11" s="51"/>
      <c r="E11" s="140"/>
      <c r="F11" s="51"/>
      <c r="G11" s="51"/>
      <c r="I11" s="102"/>
    </row>
    <row r="12" spans="1:9" ht="15">
      <c r="A12" s="1" t="s">
        <v>103</v>
      </c>
      <c r="B12" s="112">
        <v>4060</v>
      </c>
      <c r="C12" s="51"/>
      <c r="D12" s="51">
        <v>135</v>
      </c>
      <c r="E12" s="197">
        <v>49</v>
      </c>
      <c r="F12" s="51">
        <f t="shared" si="0"/>
        <v>-86</v>
      </c>
      <c r="G12" s="51">
        <f>E12/D12*100</f>
        <v>36.2962962962963</v>
      </c>
      <c r="I12" s="102"/>
    </row>
    <row r="13" spans="1:7" ht="15">
      <c r="A13" s="101"/>
      <c r="B13" s="101"/>
      <c r="D13" s="101"/>
      <c r="E13" s="101"/>
      <c r="F13" s="101"/>
      <c r="G13" s="101"/>
    </row>
    <row r="15" spans="1:9" ht="15" customHeight="1">
      <c r="A15" s="10" t="s">
        <v>185</v>
      </c>
      <c r="B15" s="11"/>
      <c r="C15" s="224" t="s">
        <v>95</v>
      </c>
      <c r="D15" s="224"/>
      <c r="E15" s="224"/>
      <c r="F15" s="12"/>
      <c r="G15" s="13" t="s">
        <v>186</v>
      </c>
      <c r="I15" s="97"/>
    </row>
    <row r="16" spans="1:9" ht="15">
      <c r="A16" s="14"/>
      <c r="B16" s="13"/>
      <c r="C16" s="241"/>
      <c r="D16" s="241"/>
      <c r="E16" s="241"/>
      <c r="F16" s="15"/>
      <c r="G16" s="16"/>
      <c r="I16" s="97"/>
    </row>
    <row r="17" spans="1:9" ht="15">
      <c r="A17" s="10" t="s">
        <v>146</v>
      </c>
      <c r="B17" s="11"/>
      <c r="C17" s="224" t="s">
        <v>95</v>
      </c>
      <c r="D17" s="225"/>
      <c r="E17" s="225"/>
      <c r="F17" s="12"/>
      <c r="G17" s="13" t="s">
        <v>187</v>
      </c>
      <c r="I17" s="97"/>
    </row>
  </sheetData>
  <sheetProtection/>
  <mergeCells count="4">
    <mergeCell ref="C17:E17"/>
    <mergeCell ref="A2:G2"/>
    <mergeCell ref="C15:E15"/>
    <mergeCell ref="C16:E16"/>
  </mergeCells>
  <printOptions/>
  <pageMargins left="0.9055118110236221" right="0.196850393700787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selection activeCell="A2" sqref="A2:F2"/>
    </sheetView>
  </sheetViews>
  <sheetFormatPr defaultColWidth="9.140625" defaultRowHeight="12.75"/>
  <cols>
    <col min="1" max="1" width="39.28125" style="97" customWidth="1"/>
    <col min="2" max="2" width="12.7109375" style="98" customWidth="1"/>
    <col min="3" max="4" width="12.7109375" style="97" customWidth="1"/>
    <col min="5" max="5" width="11.00390625" style="97" bestFit="1" customWidth="1"/>
    <col min="6" max="6" width="10.421875" style="97" bestFit="1" customWidth="1"/>
    <col min="7" max="16384" width="9.140625" style="97" customWidth="1"/>
  </cols>
  <sheetData>
    <row r="1" ht="15">
      <c r="F1" s="167" t="s">
        <v>136</v>
      </c>
    </row>
    <row r="2" spans="1:6" ht="15.75">
      <c r="A2" s="235" t="s">
        <v>198</v>
      </c>
      <c r="B2" s="235"/>
      <c r="C2" s="235"/>
      <c r="D2" s="235"/>
      <c r="E2" s="235"/>
      <c r="F2" s="235"/>
    </row>
    <row r="3" spans="1:6" ht="15">
      <c r="A3" s="186"/>
      <c r="B3" s="184"/>
      <c r="C3" s="186"/>
      <c r="D3" s="187"/>
      <c r="E3" s="186"/>
      <c r="F3" s="186"/>
    </row>
    <row r="4" spans="1:6" ht="45">
      <c r="A4" s="2" t="s">
        <v>1</v>
      </c>
      <c r="B4" s="58" t="s">
        <v>196</v>
      </c>
      <c r="C4" s="3" t="s">
        <v>292</v>
      </c>
      <c r="D4" s="3" t="s">
        <v>290</v>
      </c>
      <c r="E4" s="3" t="s">
        <v>281</v>
      </c>
      <c r="F4" s="3" t="s">
        <v>282</v>
      </c>
    </row>
    <row r="5" spans="1:6" s="50" customFormat="1" ht="12.75">
      <c r="A5" s="44">
        <v>1</v>
      </c>
      <c r="B5" s="61">
        <v>3</v>
      </c>
      <c r="C5" s="21">
        <v>4</v>
      </c>
      <c r="D5" s="21">
        <v>6</v>
      </c>
      <c r="E5" s="21">
        <v>7</v>
      </c>
      <c r="F5" s="21">
        <v>8</v>
      </c>
    </row>
    <row r="6" spans="1:6" ht="61.5" customHeight="1">
      <c r="A6" s="39" t="s">
        <v>137</v>
      </c>
      <c r="B6" s="206">
        <f>SUM(B7:B9)</f>
        <v>153</v>
      </c>
      <c r="C6" s="190">
        <v>150</v>
      </c>
      <c r="D6" s="206">
        <v>137</v>
      </c>
      <c r="E6" s="202">
        <f>SUM(D6-C6)</f>
        <v>-13</v>
      </c>
      <c r="F6" s="203">
        <f>D6/C6*100</f>
        <v>91.33333333333333</v>
      </c>
    </row>
    <row r="7" spans="1:6" ht="15">
      <c r="A7" s="40" t="s">
        <v>158</v>
      </c>
      <c r="B7" s="192">
        <v>1</v>
      </c>
      <c r="C7" s="191">
        <v>1</v>
      </c>
      <c r="D7" s="192">
        <v>1</v>
      </c>
      <c r="E7" s="202">
        <f aca="true" t="shared" si="0" ref="E7:E25">SUM(D7-C7)</f>
        <v>0</v>
      </c>
      <c r="F7" s="203">
        <f aca="true" t="shared" si="1" ref="F7:F25">D7/C7*100</f>
        <v>100</v>
      </c>
    </row>
    <row r="8" spans="1:6" ht="15">
      <c r="A8" s="40" t="s">
        <v>104</v>
      </c>
      <c r="B8" s="192">
        <v>28</v>
      </c>
      <c r="C8" s="191">
        <v>22</v>
      </c>
      <c r="D8" s="192">
        <v>19</v>
      </c>
      <c r="E8" s="202">
        <f t="shared" si="0"/>
        <v>-3</v>
      </c>
      <c r="F8" s="203">
        <f t="shared" si="1"/>
        <v>86.36363636363636</v>
      </c>
    </row>
    <row r="9" spans="1:6" ht="15">
      <c r="A9" s="40" t="s">
        <v>105</v>
      </c>
      <c r="B9" s="192">
        <v>124</v>
      </c>
      <c r="C9" s="191">
        <v>128</v>
      </c>
      <c r="D9" s="192">
        <v>117</v>
      </c>
      <c r="E9" s="202">
        <f t="shared" si="0"/>
        <v>-11</v>
      </c>
      <c r="F9" s="203">
        <f t="shared" si="1"/>
        <v>91.40625</v>
      </c>
    </row>
    <row r="10" spans="1:6" ht="28.5">
      <c r="A10" s="39" t="s">
        <v>106</v>
      </c>
      <c r="B10" s="206">
        <f>SUM(B11:B13)</f>
        <v>13059</v>
      </c>
      <c r="C10" s="190">
        <f>SUM(C11:C13)</f>
        <v>14945</v>
      </c>
      <c r="D10" s="190">
        <f>SUM(D11:D13)</f>
        <v>14183</v>
      </c>
      <c r="E10" s="204">
        <f t="shared" si="0"/>
        <v>-762</v>
      </c>
      <c r="F10" s="205">
        <f t="shared" si="1"/>
        <v>94.90130478420876</v>
      </c>
    </row>
    <row r="11" spans="1:6" ht="15">
      <c r="A11" s="40" t="s">
        <v>158</v>
      </c>
      <c r="B11" s="192">
        <v>375</v>
      </c>
      <c r="C11" s="192">
        <v>325.1</v>
      </c>
      <c r="D11" s="191">
        <v>332</v>
      </c>
      <c r="E11" s="202">
        <f t="shared" si="0"/>
        <v>6.899999999999977</v>
      </c>
      <c r="F11" s="203">
        <f t="shared" si="1"/>
        <v>102.1224238695786</v>
      </c>
    </row>
    <row r="12" spans="1:6" ht="15">
      <c r="A12" s="40" t="s">
        <v>104</v>
      </c>
      <c r="B12" s="192">
        <v>3613</v>
      </c>
      <c r="C12" s="192">
        <v>2946.3</v>
      </c>
      <c r="D12" s="192">
        <v>2717</v>
      </c>
      <c r="E12" s="202">
        <f t="shared" si="0"/>
        <v>-229.30000000000018</v>
      </c>
      <c r="F12" s="203">
        <f t="shared" si="1"/>
        <v>92.21735736347283</v>
      </c>
    </row>
    <row r="13" spans="1:6" ht="15">
      <c r="A13" s="40" t="s">
        <v>105</v>
      </c>
      <c r="B13" s="192">
        <v>9071</v>
      </c>
      <c r="C13" s="192">
        <v>11673.6</v>
      </c>
      <c r="D13" s="191">
        <v>11134</v>
      </c>
      <c r="E13" s="202">
        <f t="shared" si="0"/>
        <v>-539.6000000000004</v>
      </c>
      <c r="F13" s="203">
        <f t="shared" si="1"/>
        <v>95.37760416666666</v>
      </c>
    </row>
    <row r="14" spans="1:6" ht="42.75">
      <c r="A14" s="39" t="s">
        <v>134</v>
      </c>
      <c r="B14" s="206">
        <f aca="true" t="shared" si="2" ref="B14:D17">B10/B6/12*1000</f>
        <v>7112.745098039216</v>
      </c>
      <c r="C14" s="190">
        <v>8303</v>
      </c>
      <c r="D14" s="190">
        <f t="shared" si="2"/>
        <v>8627.12895377129</v>
      </c>
      <c r="E14" s="204">
        <f t="shared" si="0"/>
        <v>324.12895377128916</v>
      </c>
      <c r="F14" s="205">
        <f t="shared" si="1"/>
        <v>103.90375712117654</v>
      </c>
    </row>
    <row r="15" spans="1:6" ht="15">
      <c r="A15" s="40" t="s">
        <v>158</v>
      </c>
      <c r="B15" s="192">
        <v>31292</v>
      </c>
      <c r="C15" s="191">
        <f t="shared" si="2"/>
        <v>27091.666666666668</v>
      </c>
      <c r="D15" s="191">
        <f t="shared" si="2"/>
        <v>27666.666666666668</v>
      </c>
      <c r="E15" s="202">
        <f t="shared" si="0"/>
        <v>575</v>
      </c>
      <c r="F15" s="203">
        <f t="shared" si="1"/>
        <v>102.1224238695786</v>
      </c>
    </row>
    <row r="16" spans="1:6" ht="15">
      <c r="A16" s="40" t="s">
        <v>104</v>
      </c>
      <c r="B16" s="192">
        <v>10753</v>
      </c>
      <c r="C16" s="191">
        <v>11420</v>
      </c>
      <c r="D16" s="191">
        <f>D12/D8/12*1000</f>
        <v>11916.666666666666</v>
      </c>
      <c r="E16" s="202">
        <f t="shared" si="0"/>
        <v>496.66666666666606</v>
      </c>
      <c r="F16" s="203">
        <f t="shared" si="1"/>
        <v>104.34909515469934</v>
      </c>
    </row>
    <row r="17" spans="1:6" ht="15">
      <c r="A17" s="40" t="s">
        <v>105</v>
      </c>
      <c r="B17" s="192">
        <f t="shared" si="2"/>
        <v>6096.102150537635</v>
      </c>
      <c r="C17" s="191">
        <v>7630</v>
      </c>
      <c r="D17" s="191">
        <f t="shared" si="2"/>
        <v>7930.19943019943</v>
      </c>
      <c r="E17" s="202">
        <f t="shared" si="0"/>
        <v>300.19943019943</v>
      </c>
      <c r="F17" s="203">
        <f t="shared" si="1"/>
        <v>103.93446173262686</v>
      </c>
    </row>
    <row r="18" spans="1:6" ht="28.5">
      <c r="A18" s="39" t="s">
        <v>107</v>
      </c>
      <c r="B18" s="206">
        <f>SUM(B19:B21)</f>
        <v>15771</v>
      </c>
      <c r="C18" s="190">
        <f>SUM(C19:C21)</f>
        <v>18232.9</v>
      </c>
      <c r="D18" s="190">
        <f>SUM(D19:D21)</f>
        <v>17190</v>
      </c>
      <c r="E18" s="204">
        <f t="shared" si="0"/>
        <v>-1042.9000000000015</v>
      </c>
      <c r="F18" s="205">
        <f t="shared" si="1"/>
        <v>94.28012000285197</v>
      </c>
    </row>
    <row r="19" spans="1:6" ht="15">
      <c r="A19" s="40" t="s">
        <v>158</v>
      </c>
      <c r="B19" s="192">
        <v>457</v>
      </c>
      <c r="C19" s="191">
        <f>C11*1.22</f>
        <v>396.622</v>
      </c>
      <c r="D19" s="191">
        <v>405</v>
      </c>
      <c r="E19" s="202">
        <f t="shared" si="0"/>
        <v>8.377999999999986</v>
      </c>
      <c r="F19" s="203">
        <f t="shared" si="1"/>
        <v>102.11233870032423</v>
      </c>
    </row>
    <row r="20" spans="1:6" ht="15">
      <c r="A20" s="40" t="s">
        <v>104</v>
      </c>
      <c r="B20" s="192">
        <v>4394</v>
      </c>
      <c r="C20" s="191">
        <f>C12*1.22</f>
        <v>3594.4860000000003</v>
      </c>
      <c r="D20" s="191">
        <v>3314</v>
      </c>
      <c r="E20" s="202">
        <f t="shared" si="0"/>
        <v>-280.48600000000033</v>
      </c>
      <c r="F20" s="203">
        <f t="shared" si="1"/>
        <v>92.19677027536063</v>
      </c>
    </row>
    <row r="21" spans="1:6" ht="15">
      <c r="A21" s="40" t="s">
        <v>105</v>
      </c>
      <c r="B21" s="192">
        <v>10920</v>
      </c>
      <c r="C21" s="191">
        <f>C13*1.22</f>
        <v>14241.792</v>
      </c>
      <c r="D21" s="191">
        <v>13471</v>
      </c>
      <c r="E21" s="202">
        <f t="shared" si="0"/>
        <v>-770.7919999999995</v>
      </c>
      <c r="F21" s="203">
        <f t="shared" si="1"/>
        <v>94.58781591530055</v>
      </c>
    </row>
    <row r="22" spans="1:6" ht="42.75">
      <c r="A22" s="39" t="s">
        <v>108</v>
      </c>
      <c r="B22" s="206">
        <f aca="true" t="shared" si="3" ref="B22:D25">B18/12/B6*1000</f>
        <v>8589.869281045752</v>
      </c>
      <c r="C22" s="190">
        <v>10129</v>
      </c>
      <c r="D22" s="190">
        <f t="shared" si="3"/>
        <v>10456.204379562043</v>
      </c>
      <c r="E22" s="204">
        <f t="shared" si="0"/>
        <v>327.20437956204296</v>
      </c>
      <c r="F22" s="205">
        <f t="shared" si="1"/>
        <v>103.23037199686091</v>
      </c>
    </row>
    <row r="23" spans="1:6" ht="15">
      <c r="A23" s="40" t="s">
        <v>158</v>
      </c>
      <c r="B23" s="192">
        <v>38125</v>
      </c>
      <c r="C23" s="191">
        <f t="shared" si="3"/>
        <v>33051.833333333336</v>
      </c>
      <c r="D23" s="191">
        <f t="shared" si="3"/>
        <v>33750</v>
      </c>
      <c r="E23" s="202">
        <f t="shared" si="0"/>
        <v>698.1666666666642</v>
      </c>
      <c r="F23" s="203">
        <f t="shared" si="1"/>
        <v>102.11233870032423</v>
      </c>
    </row>
    <row r="24" spans="1:6" ht="15">
      <c r="A24" s="40" t="s">
        <v>104</v>
      </c>
      <c r="B24" s="192">
        <f t="shared" si="3"/>
        <v>13077.380952380952</v>
      </c>
      <c r="C24" s="191">
        <v>13932</v>
      </c>
      <c r="D24" s="191">
        <f t="shared" si="3"/>
        <v>14535.087719298246</v>
      </c>
      <c r="E24" s="202">
        <f t="shared" si="0"/>
        <v>603.0877192982462</v>
      </c>
      <c r="F24" s="203">
        <f t="shared" si="1"/>
        <v>104.32879499926963</v>
      </c>
    </row>
    <row r="25" spans="1:6" ht="15">
      <c r="A25" s="40" t="s">
        <v>105</v>
      </c>
      <c r="B25" s="192">
        <f t="shared" si="3"/>
        <v>7338.709677419355</v>
      </c>
      <c r="C25" s="191">
        <v>9308</v>
      </c>
      <c r="D25" s="191">
        <f t="shared" si="3"/>
        <v>9594.729344729345</v>
      </c>
      <c r="E25" s="202">
        <f t="shared" si="0"/>
        <v>286.72934472934503</v>
      </c>
      <c r="F25" s="203">
        <f t="shared" si="1"/>
        <v>103.08046137440208</v>
      </c>
    </row>
    <row r="26" spans="1:6" ht="15">
      <c r="A26" s="193"/>
      <c r="B26" s="208"/>
      <c r="C26" s="194"/>
      <c r="D26" s="194"/>
      <c r="E26" s="194"/>
      <c r="F26" s="194"/>
    </row>
    <row r="27" spans="1:6" ht="15">
      <c r="A27" s="193"/>
      <c r="B27" s="208"/>
      <c r="C27" s="194"/>
      <c r="D27" s="194"/>
      <c r="E27" s="194"/>
      <c r="F27" s="194"/>
    </row>
    <row r="28" spans="1:6" ht="15">
      <c r="A28" s="10" t="s">
        <v>185</v>
      </c>
      <c r="B28" s="233" t="s">
        <v>293</v>
      </c>
      <c r="C28" s="234"/>
      <c r="D28" s="234"/>
      <c r="E28" s="242"/>
      <c r="F28" s="242"/>
    </row>
    <row r="29" spans="1:6" ht="18" customHeight="1">
      <c r="A29" s="10" t="s">
        <v>147</v>
      </c>
      <c r="B29" s="233" t="s">
        <v>294</v>
      </c>
      <c r="C29" s="234"/>
      <c r="D29" s="234"/>
      <c r="E29" s="242"/>
      <c r="F29" s="242"/>
    </row>
    <row r="30" spans="1:6" ht="15">
      <c r="A30" s="14"/>
      <c r="B30" s="209"/>
      <c r="D30" s="14"/>
      <c r="F30" s="16"/>
    </row>
    <row r="31" spans="1:5" ht="15">
      <c r="A31" s="13"/>
      <c r="B31" s="241"/>
      <c r="C31" s="241"/>
      <c r="D31" s="14"/>
      <c r="E31" s="16"/>
    </row>
  </sheetData>
  <sheetProtection/>
  <mergeCells count="4">
    <mergeCell ref="A2:F2"/>
    <mergeCell ref="B28:F28"/>
    <mergeCell ref="B29:F29"/>
    <mergeCell ref="B31:C31"/>
  </mergeCells>
  <printOptions/>
  <pageMargins left="0.9055118110236221" right="0.7086614173228347" top="0.7480314960629921" bottom="0.7480314960629921" header="0.31496062992125984" footer="0.31496062992125984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2022-04-12T09:34:04Z</cp:lastPrinted>
  <dcterms:created xsi:type="dcterms:W3CDTF">1996-10-08T23:32:33Z</dcterms:created>
  <dcterms:modified xsi:type="dcterms:W3CDTF">2022-04-28T12:24:24Z</dcterms:modified>
  <cp:category/>
  <cp:version/>
  <cp:contentType/>
  <cp:contentStatus/>
</cp:coreProperties>
</file>